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640" windowHeight="10155" tabRatio="804" activeTab="3"/>
  </bookViews>
  <sheets>
    <sheet name="Lies mich !!" sheetId="1" r:id="rId1"/>
    <sheet name="Eingabe Einzelspieler" sheetId="2" r:id="rId2"/>
    <sheet name="Eingabe Mannschaften" sheetId="3" r:id="rId3"/>
    <sheet name="Auswertung Einzelspieler" sheetId="4" r:id="rId4"/>
    <sheet name="Auswertung Mannschaften" sheetId="5" r:id="rId5"/>
  </sheets>
  <definedNames>
    <definedName name="_xlnm.Print_Area" localSheetId="3">'Auswertung Einzelspieler'!$Y$2:$AK$133</definedName>
    <definedName name="_xlnm.Print_Area" localSheetId="4">'Auswertung Mannschaften'!$AY$2:$BM$37</definedName>
    <definedName name="_xlnm.Print_Area" localSheetId="1">'Eingabe Einzelspieler'!$A$1:$J$137</definedName>
    <definedName name="_xlnm.Print_Area" localSheetId="2">'Eingabe Mannschaften'!$A$1:$J$29</definedName>
    <definedName name="_xlnm.Print_Area" localSheetId="0">'Lies mich !!'!$A$1:$AA$93</definedName>
    <definedName name="_xlnm.Print_Titles" localSheetId="3">'Auswertung Einzelspieler'!$2:$5</definedName>
    <definedName name="_xlnm.Print_Titles" localSheetId="0">'Lies mich !!'!$1:$5</definedName>
  </definedNames>
  <calcPr fullCalcOnLoad="1"/>
</workbook>
</file>

<file path=xl/sharedStrings.xml><?xml version="1.0" encoding="utf-8"?>
<sst xmlns="http://schemas.openxmlformats.org/spreadsheetml/2006/main" count="654" uniqueCount="312">
  <si>
    <t>Name</t>
  </si>
  <si>
    <t>Verein</t>
  </si>
  <si>
    <t>Gesamt</t>
  </si>
  <si>
    <t>Herren</t>
  </si>
  <si>
    <t>Damen</t>
  </si>
  <si>
    <t>D</t>
  </si>
  <si>
    <t>H</t>
  </si>
  <si>
    <t>JM</t>
  </si>
  <si>
    <t>JW</t>
  </si>
  <si>
    <t>SCHM</t>
  </si>
  <si>
    <t>SCHW</t>
  </si>
  <si>
    <t>SM1</t>
  </si>
  <si>
    <t>SM2</t>
  </si>
  <si>
    <t>SW1</t>
  </si>
  <si>
    <t>SW2</t>
  </si>
  <si>
    <t>Kategorie</t>
  </si>
  <si>
    <t>Name nochmal</t>
  </si>
  <si>
    <t>AAAAAAAAAA</t>
  </si>
  <si>
    <t>ZZZZZZZZZZ</t>
  </si>
  <si>
    <t>Verein nochmal</t>
  </si>
  <si>
    <t>Streicher</t>
  </si>
  <si>
    <t>SP 1</t>
  </si>
  <si>
    <t>SP 2</t>
  </si>
  <si>
    <t>SP 3</t>
  </si>
  <si>
    <t>SP 4</t>
  </si>
  <si>
    <t>SP 5</t>
  </si>
  <si>
    <t>SP 6</t>
  </si>
  <si>
    <t>Gespielt</t>
  </si>
  <si>
    <t>Sortieren</t>
  </si>
  <si>
    <t>Gesamt ohne
 Streicher</t>
  </si>
  <si>
    <t>Herkunft</t>
  </si>
  <si>
    <t>Spielorte</t>
  </si>
  <si>
    <t>Witten-Herbede</t>
  </si>
  <si>
    <t>Schnitt ohne Streicher</t>
  </si>
  <si>
    <t>Streicher
ja / nein</t>
  </si>
  <si>
    <t>zuwenig
Spiele
ja / nein</t>
  </si>
  <si>
    <t>Rang</t>
  </si>
  <si>
    <t>gleiche Ränge</t>
  </si>
  <si>
    <t>neuer Rang</t>
  </si>
  <si>
    <t>Senioren männlich I</t>
  </si>
  <si>
    <t>Senioren weiblich I</t>
  </si>
  <si>
    <t>Senioren männlich II</t>
  </si>
  <si>
    <t>Senioren weiblich II</t>
  </si>
  <si>
    <t>Schnitt</t>
  </si>
  <si>
    <t>Jugend weiblich</t>
  </si>
  <si>
    <t>Schüler männlich</t>
  </si>
  <si>
    <t>Schüler weiblich</t>
  </si>
  <si>
    <t>Jugend männlich</t>
  </si>
  <si>
    <t>S1</t>
  </si>
  <si>
    <t>S2</t>
  </si>
  <si>
    <t>S3</t>
  </si>
  <si>
    <t>S4</t>
  </si>
  <si>
    <t>S5</t>
  </si>
  <si>
    <t>S6</t>
  </si>
  <si>
    <t>Sch</t>
  </si>
  <si>
    <t>Sen</t>
  </si>
  <si>
    <t>Jug</t>
  </si>
  <si>
    <t>Herren- / Vereinsmannschaften</t>
  </si>
  <si>
    <t>Punkte
+</t>
  </si>
  <si>
    <t>Punkte
-</t>
  </si>
  <si>
    <t>Gesamt
Punkte</t>
  </si>
  <si>
    <t>Gesamt
Schläge</t>
  </si>
  <si>
    <t>Rang
Punkte</t>
  </si>
  <si>
    <t>Rang
Schläge</t>
  </si>
  <si>
    <t>gleicher
 Rang
Schläge</t>
  </si>
  <si>
    <t>:</t>
  </si>
  <si>
    <t>gleiche
Ränge</t>
  </si>
  <si>
    <t>Damen-Mannschaften</t>
  </si>
  <si>
    <t>Senioren-Mannschaften</t>
  </si>
  <si>
    <t>Schüler-Mannschaften</t>
  </si>
  <si>
    <t>Jugend-Mannschaften</t>
  </si>
  <si>
    <t>eingeben:</t>
  </si>
  <si>
    <t>Datum zum Spieltag</t>
  </si>
  <si>
    <t>mit eingeben:</t>
  </si>
  <si>
    <t>Verband, Abteilung und Liga eingeben:</t>
  </si>
  <si>
    <t>Mannschaft</t>
  </si>
  <si>
    <t>Gesamt
Punkte +</t>
  </si>
  <si>
    <t>Gesamt
Punkte -</t>
  </si>
  <si>
    <t>Staffelauswerteprogramm</t>
  </si>
  <si>
    <t>Grundsätzliches:</t>
  </si>
  <si>
    <t>Nicht benötigte Spalten in den beiden Auswerteregistern sind ausgeblendet</t>
  </si>
  <si>
    <t>Handhabung:</t>
  </si>
  <si>
    <t xml:space="preserve">Farbcodierung: </t>
  </si>
  <si>
    <t>Blaue Schrift -&gt; Bezüge, Werte werden aus anderen Zellen unverändert übernommen</t>
  </si>
  <si>
    <t>Rote Schrift -&gt; Rechnungen; Erstellung von neuen Werten und Ergebnissen</t>
  </si>
  <si>
    <t>Eingabe von Daten im Register "Eingabe Einzelspieler":</t>
  </si>
  <si>
    <t>In die gelb unterlegten Zellen A3 - C122 werden die Basisdaten eines jeden Spielers eingegeben</t>
  </si>
  <si>
    <t>In die gelb unterlegte Zelle A135 werden Verband, Abteilung und Liga eingegeben</t>
  </si>
  <si>
    <t xml:space="preserve">Tip: alle Spieler eines Vereines untereinander aufführen, da dann ein Übertrag aus den Spielerlisten </t>
  </si>
  <si>
    <t>erleichter wird (nicht alle Herren, dann alle Damen .... einer Staffel)</t>
  </si>
  <si>
    <t>(der 2. Spieltag in Spalte E, der 3. in Spalte F ...)</t>
  </si>
  <si>
    <t>ST</t>
  </si>
  <si>
    <t>n. St.</t>
  </si>
  <si>
    <t>Gesamt 
 + Rang
+ Stechen</t>
  </si>
  <si>
    <t>Stechen</t>
  </si>
  <si>
    <t>Gesamt 
 + Rang
+ Streicher</t>
  </si>
  <si>
    <t>Alle 4 zu benutzenden Register sind auf "Seitenumbruch Vorausschau" eingestellt (zwecks besserer Darstellung)</t>
  </si>
  <si>
    <t>Schwarze Schrift -&gt; Festeingabe (Werte können / dürfen / müssen verändert werden)</t>
  </si>
  <si>
    <t>Rosa Schrift -&gt; Werte steuern als Konstante andere Befehle</t>
  </si>
  <si>
    <r>
      <t xml:space="preserve">Werte mit blauer, roter und rosa Schrift dürfen </t>
    </r>
    <r>
      <rPr>
        <b/>
        <sz val="10"/>
        <rFont val="Arial"/>
        <family val="2"/>
      </rPr>
      <t>niemals</t>
    </r>
    <r>
      <rPr>
        <sz val="10"/>
        <rFont val="Arial"/>
        <family val="0"/>
      </rPr>
      <t xml:space="preserve"> manuell verändert werden !!!</t>
    </r>
  </si>
  <si>
    <t>In die Zellen A127 - C132 wird die Reihenfolge der Spielorte eingegeben</t>
  </si>
  <si>
    <t>In die Zellen B127 - B132 wird jeweils das zum Spieltag gehörende Datum eingegeben</t>
  </si>
  <si>
    <t>In die Zellen D3 - D122 werden die Ergebnisse des 1. Spieltages eingegeben</t>
  </si>
  <si>
    <t xml:space="preserve">In die Zellen J3 - J122 werden nach dem letzten Spieltag bei schlaggleichen Spielern die Ergebnisse von </t>
  </si>
  <si>
    <t>Stechen eingetragen. Der Sieger eines jeden Stechens erhält eine 1, die anderen jeweils in der Reihen-</t>
  </si>
  <si>
    <t>Erklärung:</t>
  </si>
  <si>
    <t>In der Zeile 123 (Spalte K - T) werden die Starter je Kategorie angezeigt. Die dort ermittelten Werte müssen</t>
  </si>
  <si>
    <t>zuwenig Teilnehmer vorbereitet sind, müssen Zeilen manuell hinzugefügt werden. Sind zuviele Teilnehmer</t>
  </si>
  <si>
    <t>vorbereitet, müssen welche manuell gelöscht werden. Es ist darauf zu achten, das ein Einfügen und</t>
  </si>
  <si>
    <t>Entfernen immer in der Mitte einer Kategorie erfolgt. Nur so kann sichergestellt werden, das die programm-</t>
  </si>
  <si>
    <t>ierten Auswahlbereiche in den Formel automatisch angepaßt werden können. Anschließend muß wieder</t>
  </si>
  <si>
    <t>eine durchgängige Reihenfolge (bei 1 beginnend) in der Spalte A manuell hergestellt werden.</t>
  </si>
  <si>
    <t>Einfügen von Zeilen im Register "Auswertung Einzelspieler":</t>
  </si>
  <si>
    <t xml:space="preserve"> </t>
  </si>
  <si>
    <t>Es muß sich an diese Reihenfolge gehalten werden, da sonst nicht gewährleistet werden kann, daß alle</t>
  </si>
  <si>
    <t>Formeln und Bezüge automatisch mit geändert werden !!</t>
  </si>
  <si>
    <t>Beispiel: Bei den Herren sind 8 Teilnehmer vorbereitet und es sollen noch 3 Spieler hinzugefügt werden, weil</t>
  </si>
  <si>
    <t>Ablauf:</t>
  </si>
  <si>
    <t>Mit dem Mauszeiger auf die linke Zahlenreihe gehen und eine Zahl zwischen 7 und 14 mit der linken</t>
  </si>
  <si>
    <t>linken Taste klicken. Mit dem Mauszeiger auf eine Zahl gehen (Zahl 8 ). Mit gedrückter linker Taste</t>
  </si>
  <si>
    <t>Entfernen von Zeilen im Register "Auswertung Einzelspieler":</t>
  </si>
  <si>
    <t>Beispiel: Bei den Herren sind jetzt 11 Teilnehmer vorbereitet und es sollen 3 Spieler gelöscht werden (weil</t>
  </si>
  <si>
    <t>die Zelle K123 (im Register "Eingabe Einzelspieler") eine 11 anzeigt.</t>
  </si>
  <si>
    <t>die Zelle K123 (im Register "Eingabe Einzelspieler") eine 8 anzeigt).</t>
  </si>
  <si>
    <t>Maustaste anklicken (Zahl 8). Danach mit der rechten Maustaste klicken und bei kopieren mit der</t>
  </si>
  <si>
    <t>Maustaste anklicken (Zahl 8). Danach mit gedrückter linker Maustaste den Zeiger bis zur 10 ziehen.</t>
  </si>
  <si>
    <t>den Zeiger bis zur 10 ziehen. Linke Taste loslassen. Rechte Taste klicken und bei "kopierte Zellen</t>
  </si>
  <si>
    <t>Eingabe von Daten im Register "Eingabe Mannschaften":</t>
  </si>
  <si>
    <t xml:space="preserve">Bei den Kategorien werden unterschieden Herren (h), Damen (d), Senioren (sen), Jugend (jug) und </t>
  </si>
  <si>
    <t>Schüler (sch).</t>
  </si>
  <si>
    <t>Das Einfügen und Entfernen von Zeilen geschieht identich, wie bereits oben beschrieben.</t>
  </si>
  <si>
    <t>Abschließendes:</t>
  </si>
  <si>
    <t>Dieses Programm ist noch nicht einem Praxistest unterzogen worden, also beim ersten mal noch etwas mehr</t>
  </si>
  <si>
    <t>kontrollieren. Es ist aber an alten Ergebnislisten ausprobiert worden.</t>
  </si>
  <si>
    <t>Sollten beim ausdrucken Kategorien aus 2 Seiten verteilt sein, so kann durch manuelles hinzufügen eines</t>
  </si>
  <si>
    <t>Seitenwechsels die Druckaufteilung geändert werden.</t>
  </si>
  <si>
    <t>Sollte etwas nicht so funktionieren, wie in den Regeln gefordert, so bitte ich um eine kurze Nachricht auf unsere</t>
  </si>
  <si>
    <t>Internetseite (Gästebuch) oder unter "andreas.reese@de.opel.com". Ich werden dann den Fehler so schnell</t>
  </si>
  <si>
    <t>wie möglich beheben.</t>
  </si>
  <si>
    <t>Ansonsten wünsche ich allen, die hiermit arbeiten wollen, viel Spaß.</t>
  </si>
  <si>
    <t>Gut Schlag für die kommende Saison und noch viel Zeit zum Spielen durch weniger administrativen Aufwand</t>
  </si>
  <si>
    <t>durch diese kleine Hilfe.</t>
  </si>
  <si>
    <t>Andreas Reese</t>
  </si>
  <si>
    <t>MGC "AS" Witten `63 e.V.</t>
  </si>
  <si>
    <t>Sportwart</t>
  </si>
  <si>
    <t>einfügen " mit linker Taste klicken. Danach für die schwarzen Zahlen der Spalte "A" die Reihenfolge</t>
  </si>
  <si>
    <t xml:space="preserve"> (bei 1 beginnend) wieder herstellen. - fertig -</t>
  </si>
  <si>
    <t>Rechte Taste klicken und bei "Zellen löschen" mit linker Taste klicken. Danach für die schwarzen</t>
  </si>
  <si>
    <t>Zahlen der Spalte "A" die Reihenfolge (bei 1 beginnend) wieder herstellen. - fertig -</t>
  </si>
  <si>
    <t xml:space="preserve">Das Programm ist für 120 Einzelspieler und 25 Mannschaften vorbereitet </t>
  </si>
  <si>
    <t>Für die Kategorien sind die Kürzel von Spalte K - T zu verwenden (Groß- oder Kleinschrift sind egal)</t>
  </si>
  <si>
    <t xml:space="preserve">Dieser Register ist analog aufgebaut wie der zuvor beschriebene. </t>
  </si>
  <si>
    <t>MGC "AS" Witten</t>
  </si>
  <si>
    <t>d</t>
  </si>
  <si>
    <t>schm</t>
  </si>
  <si>
    <t>sw1</t>
  </si>
  <si>
    <t>sm1</t>
  </si>
  <si>
    <t>h</t>
  </si>
  <si>
    <t>sm2</t>
  </si>
  <si>
    <t>sw2</t>
  </si>
  <si>
    <t>jm</t>
  </si>
  <si>
    <t>dsm1</t>
  </si>
  <si>
    <t>dd</t>
  </si>
  <si>
    <t>"AS" Witten 1</t>
  </si>
  <si>
    <t>"AS" Witten 2</t>
  </si>
  <si>
    <t>"AS" Witten 3</t>
  </si>
  <si>
    <t>sen</t>
  </si>
  <si>
    <t>Gelsenkirchen 1</t>
  </si>
  <si>
    <t>Gelsenkirchen 2</t>
  </si>
  <si>
    <t>Gelsenkirchen 3</t>
  </si>
  <si>
    <t>NBV, Abt. 1, Bezirksliga II</t>
  </si>
  <si>
    <t>Bo-Langendreer</t>
  </si>
  <si>
    <t xml:space="preserve">folge der einzelnen Stechergebnisse eine 2, 3, ... </t>
  </si>
  <si>
    <t>mit den im Register "Auswertung Einzelspieler" vorbereiteten Teilnehmern abgeglichen werden. Wenn</t>
  </si>
  <si>
    <t>Uerdingen</t>
  </si>
  <si>
    <t>Wesel</t>
  </si>
  <si>
    <t>Neviges</t>
  </si>
  <si>
    <t>1. Spieltag, 04.04.04</t>
  </si>
  <si>
    <t>2. Spieltag, 25.05.04</t>
  </si>
  <si>
    <t>3. Spieltag, 09.05.04</t>
  </si>
  <si>
    <t>4. Spieltag, 23.05.04</t>
  </si>
  <si>
    <t>5. Spieltag, 13.06.04</t>
  </si>
  <si>
    <t>6. Spieltag, 27.06.04</t>
  </si>
  <si>
    <t>Bähtz, M</t>
  </si>
  <si>
    <t>Behrens, S</t>
  </si>
  <si>
    <t>Amt-Lüttenberg, S</t>
  </si>
  <si>
    <t>Deck, C</t>
  </si>
  <si>
    <t>Endberg, C</t>
  </si>
  <si>
    <t>Endberg, W</t>
  </si>
  <si>
    <t>Gregorszewski, K</t>
  </si>
  <si>
    <t>Klein, T</t>
  </si>
  <si>
    <t>Krause, M</t>
  </si>
  <si>
    <t>Kube, S</t>
  </si>
  <si>
    <t>Lange, D</t>
  </si>
  <si>
    <t>Lange, M</t>
  </si>
  <si>
    <t>Lenk, R</t>
  </si>
  <si>
    <t>Lütje, W</t>
  </si>
  <si>
    <t>Lüttenberg, W</t>
  </si>
  <si>
    <t>Rahlfes, S</t>
  </si>
  <si>
    <t>Reese, A</t>
  </si>
  <si>
    <t>Ruge, M</t>
  </si>
  <si>
    <t>Schlottner,M</t>
  </si>
  <si>
    <t>Schnaare, J</t>
  </si>
  <si>
    <t>Tabor, P</t>
  </si>
  <si>
    <t>Thurmann, Di</t>
  </si>
  <si>
    <t>Thurmann, Do</t>
  </si>
  <si>
    <t>Barschdorf, A</t>
  </si>
  <si>
    <t>Barschdorf, F</t>
  </si>
  <si>
    <t>Krüger, S</t>
  </si>
  <si>
    <t>Boßhammer, W</t>
  </si>
  <si>
    <t>Gärtig, H</t>
  </si>
  <si>
    <t>Czorny, S</t>
  </si>
  <si>
    <t>Hirtz, U</t>
  </si>
  <si>
    <t>Kaufmann, M</t>
  </si>
  <si>
    <t>Kaup, M</t>
  </si>
  <si>
    <t>König, G</t>
  </si>
  <si>
    <t>König, M</t>
  </si>
  <si>
    <t>Mette, M</t>
  </si>
  <si>
    <t>Reimer, I</t>
  </si>
  <si>
    <t>Reimer, W</t>
  </si>
  <si>
    <t>Seele, J</t>
  </si>
  <si>
    <t>Templin, G</t>
  </si>
  <si>
    <t>Templin, I</t>
  </si>
  <si>
    <t>Weinberger, H</t>
  </si>
  <si>
    <t>Wickermann, Hel</t>
  </si>
  <si>
    <t>Wickermann, Hei</t>
  </si>
  <si>
    <t>Weinberger, S</t>
  </si>
  <si>
    <t>Dudziak, H</t>
  </si>
  <si>
    <t>Weinberger, R</t>
  </si>
  <si>
    <t>1.MGC Gelsenkirchen</t>
  </si>
  <si>
    <t>Bever, H</t>
  </si>
  <si>
    <t>Bork, E</t>
  </si>
  <si>
    <t>Bork, G</t>
  </si>
  <si>
    <t>Dötterl, D</t>
  </si>
  <si>
    <t>Freitag, A</t>
  </si>
  <si>
    <t>Heine, L</t>
  </si>
  <si>
    <t>Heinrich, W</t>
  </si>
  <si>
    <t>Isselmann, W</t>
  </si>
  <si>
    <t>König, K</t>
  </si>
  <si>
    <t>Lach, M</t>
  </si>
  <si>
    <t>Plängsken, R</t>
  </si>
  <si>
    <t>Rüger, D</t>
  </si>
  <si>
    <t>Rüger, Joh</t>
  </si>
  <si>
    <t>Rüger, Jos</t>
  </si>
  <si>
    <t>Schilling, A</t>
  </si>
  <si>
    <t>Selenic, P</t>
  </si>
  <si>
    <t>Stodtmeister, H</t>
  </si>
  <si>
    <t>Stenk, M</t>
  </si>
  <si>
    <t>Triepel, S</t>
  </si>
  <si>
    <t>Verhufen, B</t>
  </si>
  <si>
    <t>Verhufen, R</t>
  </si>
  <si>
    <t>Wien, A</t>
  </si>
  <si>
    <t>Dittebrand, M</t>
  </si>
  <si>
    <t>Wolf, C</t>
  </si>
  <si>
    <t>Steger, H</t>
  </si>
  <si>
    <t>1.MSC Wesel</t>
  </si>
  <si>
    <t>Kampmann, U</t>
  </si>
  <si>
    <t>Rosemann, S</t>
  </si>
  <si>
    <t>Rassler, C</t>
  </si>
  <si>
    <t>Reh, M</t>
  </si>
  <si>
    <t>Herkenrath, H</t>
  </si>
  <si>
    <t>Meike, Det</t>
  </si>
  <si>
    <t>Meike, Den</t>
  </si>
  <si>
    <t>Falterbaum, M</t>
  </si>
  <si>
    <t>Meike, A</t>
  </si>
  <si>
    <t>Kuhl, D</t>
  </si>
  <si>
    <t>Falterbaum, J</t>
  </si>
  <si>
    <t>Reh, B</t>
  </si>
  <si>
    <t>Tockner, F</t>
  </si>
  <si>
    <t>Rosemann, A</t>
  </si>
  <si>
    <t>Dehne, J</t>
  </si>
  <si>
    <t>Schneider, M</t>
  </si>
  <si>
    <t>Rassler, G</t>
  </si>
  <si>
    <t>Metzner, H</t>
  </si>
  <si>
    <t>Jaeger, B</t>
  </si>
  <si>
    <t>Kuhl, M</t>
  </si>
  <si>
    <t>Tracogna, H</t>
  </si>
  <si>
    <t>MGC Neviges</t>
  </si>
  <si>
    <t>Jörissen, T</t>
  </si>
  <si>
    <t>Hegers, S</t>
  </si>
  <si>
    <t>Bork, W</t>
  </si>
  <si>
    <t>Mosch, W</t>
  </si>
  <si>
    <t>Dohmen, B</t>
  </si>
  <si>
    <t>Mosch, H</t>
  </si>
  <si>
    <t>Pohlig, G</t>
  </si>
  <si>
    <t>Stachowitz, H</t>
  </si>
  <si>
    <t>Hauschke, D</t>
  </si>
  <si>
    <t>Ramb, W</t>
  </si>
  <si>
    <t>Hauschke, K</t>
  </si>
  <si>
    <t>Drechsler, K</t>
  </si>
  <si>
    <t>BGC Uerdingen</t>
  </si>
  <si>
    <t>Wesel 1</t>
  </si>
  <si>
    <t>Wesel 2</t>
  </si>
  <si>
    <t>Wesel 3</t>
  </si>
  <si>
    <t>Wesel 4</t>
  </si>
  <si>
    <t>Wesel 5</t>
  </si>
  <si>
    <t>Neviges 1</t>
  </si>
  <si>
    <t>Neviges 2</t>
  </si>
  <si>
    <t>Neviges 3</t>
  </si>
  <si>
    <t>Neviges 4</t>
  </si>
  <si>
    <t>Uerdingen 1</t>
  </si>
  <si>
    <t>Uerdingen 2</t>
  </si>
  <si>
    <t>Uerdingen 3</t>
  </si>
  <si>
    <t>dsw2</t>
  </si>
  <si>
    <t>Ge-Bulmke</t>
  </si>
  <si>
    <t>1. MGC Gelsenkirchen</t>
  </si>
  <si>
    <t>Hohmann, M</t>
  </si>
  <si>
    <t>Schmitt, R</t>
  </si>
  <si>
    <t>Gremm, D</t>
  </si>
  <si>
    <t>Käsler, R</t>
  </si>
  <si>
    <t>Rüger, M</t>
  </si>
  <si>
    <t>Weinberger, 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</si>
</sst>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  <numFmt numFmtId="183" formatCode="d/m/yy"/>
    <numFmt numFmtId="184" formatCode="0_ ;[Red]\-0\ "/>
    <numFmt numFmtId="185" formatCode="00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84" fontId="0" fillId="0" borderId="0" xfId="0" applyNumberFormat="1" applyAlignment="1">
      <alignment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1" fillId="0" borderId="0" xfId="0" applyFont="1" applyAlignment="1">
      <alignment/>
    </xf>
    <xf numFmtId="0" fontId="0" fillId="5" borderId="0" xfId="0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6" borderId="3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12" fillId="6" borderId="6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12" fillId="6" borderId="7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173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0" fontId="2" fillId="4" borderId="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28575</xdr:rowOff>
    </xdr:from>
    <xdr:to>
      <xdr:col>25</xdr:col>
      <xdr:colOff>238125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705475" y="190500"/>
          <a:ext cx="723900" cy="723900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</xdr:row>
      <xdr:rowOff>114300</xdr:rowOff>
    </xdr:from>
    <xdr:to>
      <xdr:col>26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01930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1</xdr:row>
      <xdr:rowOff>114300</xdr:rowOff>
    </xdr:from>
    <xdr:to>
      <xdr:col>52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704975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93"/>
  <sheetViews>
    <sheetView workbookViewId="0" topLeftCell="A1">
      <selection activeCell="C12" sqref="C12"/>
    </sheetView>
  </sheetViews>
  <sheetFormatPr defaultColWidth="11.421875" defaultRowHeight="12.75"/>
  <cols>
    <col min="1" max="27" width="3.7109375" style="0" customWidth="1"/>
  </cols>
  <sheetData>
    <row r="3" spans="1:22" ht="27.75">
      <c r="A3" s="47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ht="12.75" customHeight="1">
      <c r="A4" s="46"/>
    </row>
    <row r="6" ht="12.75">
      <c r="A6" s="32" t="s">
        <v>79</v>
      </c>
    </row>
    <row r="7" ht="12.75">
      <c r="B7" t="s">
        <v>96</v>
      </c>
    </row>
    <row r="8" ht="12.75">
      <c r="B8" t="s">
        <v>80</v>
      </c>
    </row>
    <row r="9" ht="12.75">
      <c r="B9" t="s">
        <v>82</v>
      </c>
    </row>
    <row r="10" ht="12.75">
      <c r="C10" t="s">
        <v>97</v>
      </c>
    </row>
    <row r="11" ht="12.75">
      <c r="C11" t="s">
        <v>83</v>
      </c>
    </row>
    <row r="12" ht="12.75">
      <c r="C12" t="s">
        <v>84</v>
      </c>
    </row>
    <row r="13" ht="12.75">
      <c r="C13" t="s">
        <v>98</v>
      </c>
    </row>
    <row r="14" ht="12.75">
      <c r="D14" t="s">
        <v>99</v>
      </c>
    </row>
    <row r="15" ht="12.75">
      <c r="B15" t="s">
        <v>149</v>
      </c>
    </row>
    <row r="18" ht="12.75">
      <c r="A18" s="32" t="s">
        <v>81</v>
      </c>
    </row>
    <row r="19" ht="12.75">
      <c r="B19" s="28" t="s">
        <v>85</v>
      </c>
    </row>
    <row r="20" ht="12.75">
      <c r="C20" t="s">
        <v>86</v>
      </c>
    </row>
    <row r="21" ht="12.75">
      <c r="D21" t="s">
        <v>88</v>
      </c>
    </row>
    <row r="22" ht="12.75">
      <c r="E22" t="s">
        <v>89</v>
      </c>
    </row>
    <row r="23" ht="12.75">
      <c r="C23" t="s">
        <v>150</v>
      </c>
    </row>
    <row r="24" ht="12.75">
      <c r="C24" t="s">
        <v>100</v>
      </c>
    </row>
    <row r="25" ht="12.75">
      <c r="C25" t="s">
        <v>87</v>
      </c>
    </row>
    <row r="26" ht="12.75">
      <c r="C26" t="s">
        <v>101</v>
      </c>
    </row>
    <row r="27" ht="12.75">
      <c r="C27" t="s">
        <v>102</v>
      </c>
    </row>
    <row r="28" ht="12.75">
      <c r="D28" t="s">
        <v>90</v>
      </c>
    </row>
    <row r="29" ht="12.75">
      <c r="C29" t="s">
        <v>103</v>
      </c>
    </row>
    <row r="30" ht="12.75">
      <c r="D30" t="s">
        <v>104</v>
      </c>
    </row>
    <row r="31" ht="12.75">
      <c r="D31" t="s">
        <v>172</v>
      </c>
    </row>
    <row r="33" ht="12.75">
      <c r="C33" s="28" t="s">
        <v>105</v>
      </c>
    </row>
    <row r="34" ht="12.75">
      <c r="C34" t="s">
        <v>106</v>
      </c>
    </row>
    <row r="35" ht="12.75">
      <c r="D35" t="s">
        <v>173</v>
      </c>
    </row>
    <row r="36" ht="12.75">
      <c r="D36" t="s">
        <v>107</v>
      </c>
    </row>
    <row r="37" ht="12.75">
      <c r="D37" t="s">
        <v>108</v>
      </c>
    </row>
    <row r="38" ht="12.75">
      <c r="D38" t="s">
        <v>109</v>
      </c>
    </row>
    <row r="39" ht="12.75">
      <c r="D39" t="s">
        <v>110</v>
      </c>
    </row>
    <row r="40" ht="12.75">
      <c r="D40" t="s">
        <v>111</v>
      </c>
    </row>
    <row r="42" ht="12.75">
      <c r="C42" s="28" t="s">
        <v>112</v>
      </c>
    </row>
    <row r="43" ht="12.75">
      <c r="C43" t="s">
        <v>114</v>
      </c>
    </row>
    <row r="44" spans="3:4" ht="12.75">
      <c r="C44" t="s">
        <v>113</v>
      </c>
      <c r="D44" t="s">
        <v>115</v>
      </c>
    </row>
    <row r="46" ht="12.75">
      <c r="C46" t="s">
        <v>116</v>
      </c>
    </row>
    <row r="47" ht="12.75">
      <c r="D47" t="s">
        <v>122</v>
      </c>
    </row>
    <row r="49" ht="12.75">
      <c r="C49" t="s">
        <v>117</v>
      </c>
    </row>
    <row r="50" ht="12.75">
      <c r="D50" t="s">
        <v>118</v>
      </c>
    </row>
    <row r="51" ht="12.75">
      <c r="D51" t="s">
        <v>124</v>
      </c>
    </row>
    <row r="52" ht="12.75">
      <c r="D52" t="s">
        <v>119</v>
      </c>
    </row>
    <row r="53" ht="12.75">
      <c r="D53" t="s">
        <v>126</v>
      </c>
    </row>
    <row r="54" ht="12.75">
      <c r="D54" t="s">
        <v>145</v>
      </c>
    </row>
    <row r="55" ht="12.75">
      <c r="D55" t="s">
        <v>146</v>
      </c>
    </row>
    <row r="57" ht="12.75">
      <c r="C57" s="28" t="s">
        <v>120</v>
      </c>
    </row>
    <row r="58" ht="12.75">
      <c r="C58" t="s">
        <v>114</v>
      </c>
    </row>
    <row r="59" spans="3:4" ht="12.75">
      <c r="C59" t="s">
        <v>113</v>
      </c>
      <c r="D59" t="s">
        <v>115</v>
      </c>
    </row>
    <row r="61" ht="12.75">
      <c r="C61" t="s">
        <v>121</v>
      </c>
    </row>
    <row r="62" ht="12.75">
      <c r="D62" t="s">
        <v>123</v>
      </c>
    </row>
    <row r="64" ht="12.75">
      <c r="C64" t="s">
        <v>117</v>
      </c>
    </row>
    <row r="65" ht="12.75">
      <c r="D65" t="s">
        <v>118</v>
      </c>
    </row>
    <row r="66" ht="12.75">
      <c r="D66" t="s">
        <v>125</v>
      </c>
    </row>
    <row r="67" ht="12.75">
      <c r="D67" t="s">
        <v>147</v>
      </c>
    </row>
    <row r="68" ht="12.75">
      <c r="D68" t="s">
        <v>148</v>
      </c>
    </row>
    <row r="71" ht="12.75">
      <c r="B71" s="28" t="s">
        <v>127</v>
      </c>
    </row>
    <row r="72" ht="12.75">
      <c r="C72" t="s">
        <v>151</v>
      </c>
    </row>
    <row r="73" ht="12.75">
      <c r="C73" t="s">
        <v>128</v>
      </c>
    </row>
    <row r="74" ht="12.75">
      <c r="D74" t="s">
        <v>129</v>
      </c>
    </row>
    <row r="75" ht="12.75">
      <c r="C75" t="s">
        <v>130</v>
      </c>
    </row>
    <row r="78" ht="12.75">
      <c r="A78" s="32" t="s">
        <v>131</v>
      </c>
    </row>
    <row r="79" ht="12.75">
      <c r="B79" t="s">
        <v>132</v>
      </c>
    </row>
    <row r="80" ht="12.75">
      <c r="C80" t="s">
        <v>133</v>
      </c>
    </row>
    <row r="81" ht="12.75">
      <c r="B81" t="s">
        <v>134</v>
      </c>
    </row>
    <row r="82" ht="12.75">
      <c r="C82" t="s">
        <v>135</v>
      </c>
    </row>
    <row r="83" ht="12.75">
      <c r="B83" t="s">
        <v>136</v>
      </c>
    </row>
    <row r="84" ht="12.75">
      <c r="C84" t="s">
        <v>137</v>
      </c>
    </row>
    <row r="85" ht="12.75">
      <c r="C85" t="s">
        <v>138</v>
      </c>
    </row>
    <row r="87" ht="12.75">
      <c r="B87" t="s">
        <v>139</v>
      </c>
    </row>
    <row r="88" ht="12.75">
      <c r="B88" t="s">
        <v>140</v>
      </c>
    </row>
    <row r="89" ht="12.75">
      <c r="C89" t="s">
        <v>141</v>
      </c>
    </row>
    <row r="91" ht="12.75">
      <c r="B91" t="s">
        <v>142</v>
      </c>
    </row>
    <row r="92" ht="12.75">
      <c r="B92" t="s">
        <v>144</v>
      </c>
    </row>
    <row r="93" ht="12.75">
      <c r="B93" t="s">
        <v>143</v>
      </c>
    </row>
  </sheetData>
  <sheetProtection password="CF47" sheet="1" objects="1" scenarios="1"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W136"/>
  <sheetViews>
    <sheetView workbookViewId="0" topLeftCell="A1">
      <pane ySplit="2" topLeftCell="BM98" activePane="bottomLeft" state="frozen"/>
      <selection pane="topLeft" activeCell="A1" sqref="A1"/>
      <selection pane="bottomLeft" activeCell="I84" sqref="I84"/>
    </sheetView>
  </sheetViews>
  <sheetFormatPr defaultColWidth="11.421875" defaultRowHeight="12.75"/>
  <cols>
    <col min="1" max="1" width="21.140625" style="0" customWidth="1"/>
    <col min="2" max="2" width="18.7109375" style="0" customWidth="1"/>
    <col min="3" max="3" width="8.8515625" style="0" bestFit="1" customWidth="1"/>
    <col min="4" max="10" width="3.7109375" style="0" customWidth="1"/>
    <col min="11" max="12" width="3.00390625" style="0" bestFit="1" customWidth="1"/>
    <col min="13" max="13" width="4.8515625" style="0" bestFit="1" customWidth="1"/>
    <col min="14" max="14" width="5.140625" style="0" bestFit="1" customWidth="1"/>
    <col min="15" max="15" width="4.8515625" style="0" bestFit="1" customWidth="1"/>
    <col min="16" max="16" width="5.140625" style="0" bestFit="1" customWidth="1"/>
    <col min="17" max="17" width="3.421875" style="0" bestFit="1" customWidth="1"/>
    <col min="18" max="18" width="3.7109375" style="0" bestFit="1" customWidth="1"/>
    <col min="19" max="19" width="6.421875" style="0" bestFit="1" customWidth="1"/>
    <col min="20" max="20" width="6.7109375" style="0" bestFit="1" customWidth="1"/>
    <col min="21" max="21" width="18.7109375" style="0" customWidth="1"/>
    <col min="22" max="22" width="16.8515625" style="0" customWidth="1"/>
  </cols>
  <sheetData>
    <row r="1" spans="1:23" ht="12.75">
      <c r="A1" t="s">
        <v>0</v>
      </c>
      <c r="B1" t="s">
        <v>1</v>
      </c>
      <c r="C1" t="s">
        <v>15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91</v>
      </c>
      <c r="K1" s="3" t="s">
        <v>6</v>
      </c>
      <c r="L1" s="3" t="s">
        <v>5</v>
      </c>
      <c r="M1" s="3" t="s">
        <v>11</v>
      </c>
      <c r="N1" s="3" t="s">
        <v>13</v>
      </c>
      <c r="O1" s="3" t="s">
        <v>12</v>
      </c>
      <c r="P1" s="3" t="s">
        <v>14</v>
      </c>
      <c r="Q1" s="3" t="s">
        <v>7</v>
      </c>
      <c r="R1" s="3" t="s">
        <v>8</v>
      </c>
      <c r="S1" s="3" t="s">
        <v>9</v>
      </c>
      <c r="T1" s="3" t="s">
        <v>10</v>
      </c>
      <c r="U1" s="3" t="s">
        <v>16</v>
      </c>
      <c r="V1" s="3" t="s">
        <v>19</v>
      </c>
      <c r="W1" s="3"/>
    </row>
    <row r="2" spans="1:23" ht="12.75">
      <c r="A2" s="37" t="s">
        <v>17</v>
      </c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9">
        <f>IF($A2="AAAAAAAAAA",0,IF($C2=K$1,K1+1,K1))</f>
        <v>0</v>
      </c>
      <c r="L2" s="9">
        <f aca="true" t="shared" si="0" ref="L2:T3">IF($A2="AAAAAAAAAA",0,IF($C2=L$1,L1+1,L1))</f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37" t="str">
        <f aca="true" t="shared" si="1" ref="U2:U27">A2</f>
        <v>AAAAAAAAAA</v>
      </c>
      <c r="V2" s="37" t="str">
        <f aca="true" t="shared" si="2" ref="V2:V27">B2</f>
        <v>AAAAAAAAAA</v>
      </c>
      <c r="W2" s="3"/>
    </row>
    <row r="3" spans="1:23" ht="12.75">
      <c r="A3" s="2" t="s">
        <v>185</v>
      </c>
      <c r="B3" s="2" t="s">
        <v>152</v>
      </c>
      <c r="C3" s="4" t="s">
        <v>162</v>
      </c>
      <c r="D3" s="5"/>
      <c r="E3" s="5"/>
      <c r="F3" s="6"/>
      <c r="G3" s="6"/>
      <c r="H3" s="6"/>
      <c r="I3" s="6"/>
      <c r="J3" s="33"/>
      <c r="K3" s="9">
        <f>IF($A3="AAAAAAAAAA",0,IF($C3=K$1,K2+1,K2))</f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14" t="str">
        <f t="shared" si="1"/>
        <v>Amt-Lüttenberg, S</v>
      </c>
      <c r="V3" s="14" t="str">
        <f t="shared" si="2"/>
        <v>MGC "AS" Witten</v>
      </c>
      <c r="W3" s="3"/>
    </row>
    <row r="4" spans="1:23" ht="12.75">
      <c r="A4" s="2" t="s">
        <v>183</v>
      </c>
      <c r="B4" s="2" t="s">
        <v>152</v>
      </c>
      <c r="C4" s="4" t="s">
        <v>155</v>
      </c>
      <c r="D4" s="5">
        <v>117</v>
      </c>
      <c r="E4" s="5"/>
      <c r="F4" s="6">
        <v>112</v>
      </c>
      <c r="G4" s="6">
        <v>121</v>
      </c>
      <c r="H4" s="6">
        <v>100</v>
      </c>
      <c r="I4" s="6">
        <v>114</v>
      </c>
      <c r="J4" s="33"/>
      <c r="K4" s="9">
        <f aca="true" t="shared" si="3" ref="K4:K67">IF($A4="AAAAAAAAAA",0,IF($C4=K$1,K3+1,K3))</f>
        <v>0</v>
      </c>
      <c r="L4" s="9">
        <f aca="true" t="shared" si="4" ref="L4:L67">IF($A4="AAAAAAAAAA",0,IF($C4=L$1,L3+1,L3))</f>
        <v>0</v>
      </c>
      <c r="M4" s="9">
        <f aca="true" t="shared" si="5" ref="M4:M67">IF($A4="AAAAAAAAAA",0,IF($C4=M$1,M3+1,M3))</f>
        <v>0</v>
      </c>
      <c r="N4" s="9">
        <f aca="true" t="shared" si="6" ref="N4:N67">IF($A4="AAAAAAAAAA",0,IF($C4=N$1,N3+1,N3))</f>
        <v>1</v>
      </c>
      <c r="O4" s="9">
        <f aca="true" t="shared" si="7" ref="O4:O67">IF($A4="AAAAAAAAAA",0,IF($C4=O$1,O3+1,O3))</f>
        <v>0</v>
      </c>
      <c r="P4" s="9">
        <f aca="true" t="shared" si="8" ref="P4:P67">IF($A4="AAAAAAAAAA",0,IF($C4=P$1,P3+1,P3))</f>
        <v>0</v>
      </c>
      <c r="Q4" s="9">
        <f aca="true" t="shared" si="9" ref="Q4:Q67">IF($A4="AAAAAAAAAA",0,IF($C4=Q$1,Q3+1,Q3))</f>
        <v>0</v>
      </c>
      <c r="R4" s="9">
        <f aca="true" t="shared" si="10" ref="R4:R67">IF($A4="AAAAAAAAAA",0,IF($C4=R$1,R3+1,R3))</f>
        <v>0</v>
      </c>
      <c r="S4" s="9">
        <f aca="true" t="shared" si="11" ref="S4:S67">IF($A4="AAAAAAAAAA",0,IF($C4=S$1,S3+1,S3))</f>
        <v>0</v>
      </c>
      <c r="T4" s="9">
        <f aca="true" t="shared" si="12" ref="T4:T67">IF($A4="AAAAAAAAAA",0,IF($C4=T$1,T3+1,T3))</f>
        <v>0</v>
      </c>
      <c r="U4" s="14" t="str">
        <f t="shared" si="1"/>
        <v>Bähtz, M</v>
      </c>
      <c r="V4" s="14" t="str">
        <f t="shared" si="2"/>
        <v>MGC "AS" Witten</v>
      </c>
      <c r="W4" s="3"/>
    </row>
    <row r="5" spans="1:23" ht="12.75">
      <c r="A5" s="2" t="s">
        <v>184</v>
      </c>
      <c r="B5" s="2" t="s">
        <v>152</v>
      </c>
      <c r="C5" s="4" t="s">
        <v>160</v>
      </c>
      <c r="D5" s="5"/>
      <c r="E5" s="5">
        <v>91</v>
      </c>
      <c r="F5" s="6">
        <v>84</v>
      </c>
      <c r="G5" s="6">
        <v>96</v>
      </c>
      <c r="H5" s="6">
        <v>83</v>
      </c>
      <c r="I5" s="6">
        <v>84</v>
      </c>
      <c r="J5" s="33"/>
      <c r="K5" s="9">
        <f t="shared" si="3"/>
        <v>0</v>
      </c>
      <c r="L5" s="9">
        <f t="shared" si="4"/>
        <v>0</v>
      </c>
      <c r="M5" s="9">
        <f t="shared" si="5"/>
        <v>0</v>
      </c>
      <c r="N5" s="9">
        <f t="shared" si="6"/>
        <v>1</v>
      </c>
      <c r="O5" s="9">
        <f t="shared" si="7"/>
        <v>0</v>
      </c>
      <c r="P5" s="9">
        <f t="shared" si="8"/>
        <v>0</v>
      </c>
      <c r="Q5" s="9">
        <f t="shared" si="9"/>
        <v>1</v>
      </c>
      <c r="R5" s="9">
        <f t="shared" si="10"/>
        <v>0</v>
      </c>
      <c r="S5" s="9">
        <f t="shared" si="11"/>
        <v>0</v>
      </c>
      <c r="T5" s="9">
        <f t="shared" si="12"/>
        <v>0</v>
      </c>
      <c r="U5" s="14" t="str">
        <f t="shared" si="1"/>
        <v>Behrens, S</v>
      </c>
      <c r="V5" s="14" t="str">
        <f t="shared" si="2"/>
        <v>MGC "AS" Witten</v>
      </c>
      <c r="W5" s="3"/>
    </row>
    <row r="6" spans="1:23" ht="12.75">
      <c r="A6" s="2" t="s">
        <v>209</v>
      </c>
      <c r="B6" s="2" t="s">
        <v>152</v>
      </c>
      <c r="C6" s="4" t="s">
        <v>158</v>
      </c>
      <c r="D6" s="5">
        <v>113</v>
      </c>
      <c r="E6" s="5">
        <v>102</v>
      </c>
      <c r="F6" s="6">
        <v>111</v>
      </c>
      <c r="G6" s="6">
        <v>105</v>
      </c>
      <c r="H6" s="6">
        <v>96</v>
      </c>
      <c r="I6" s="6">
        <v>109</v>
      </c>
      <c r="J6" s="33"/>
      <c r="K6" s="9">
        <f t="shared" si="3"/>
        <v>0</v>
      </c>
      <c r="L6" s="9">
        <f t="shared" si="4"/>
        <v>0</v>
      </c>
      <c r="M6" s="9">
        <f t="shared" si="5"/>
        <v>0</v>
      </c>
      <c r="N6" s="9">
        <f t="shared" si="6"/>
        <v>1</v>
      </c>
      <c r="O6" s="9">
        <f t="shared" si="7"/>
        <v>1</v>
      </c>
      <c r="P6" s="9">
        <f t="shared" si="8"/>
        <v>0</v>
      </c>
      <c r="Q6" s="9">
        <f t="shared" si="9"/>
        <v>1</v>
      </c>
      <c r="R6" s="9">
        <f t="shared" si="10"/>
        <v>0</v>
      </c>
      <c r="S6" s="9">
        <f t="shared" si="11"/>
        <v>0</v>
      </c>
      <c r="T6" s="9">
        <f t="shared" si="12"/>
        <v>0</v>
      </c>
      <c r="U6" s="14" t="str">
        <f t="shared" si="1"/>
        <v>Boßhammer, W</v>
      </c>
      <c r="V6" s="14" t="str">
        <f t="shared" si="2"/>
        <v>MGC "AS" Witten</v>
      </c>
      <c r="W6" s="3"/>
    </row>
    <row r="7" spans="1:23" ht="12.75">
      <c r="A7" s="2" t="s">
        <v>186</v>
      </c>
      <c r="B7" s="2" t="s">
        <v>152</v>
      </c>
      <c r="C7" s="4" t="s">
        <v>159</v>
      </c>
      <c r="D7" s="5">
        <v>114</v>
      </c>
      <c r="E7" s="5">
        <v>114</v>
      </c>
      <c r="F7" s="6">
        <v>100</v>
      </c>
      <c r="G7" s="6">
        <v>115</v>
      </c>
      <c r="H7" s="6">
        <v>115</v>
      </c>
      <c r="I7" s="6">
        <v>120</v>
      </c>
      <c r="J7" s="33"/>
      <c r="K7" s="9">
        <f t="shared" si="3"/>
        <v>0</v>
      </c>
      <c r="L7" s="9">
        <f t="shared" si="4"/>
        <v>0</v>
      </c>
      <c r="M7" s="9">
        <f t="shared" si="5"/>
        <v>0</v>
      </c>
      <c r="N7" s="9">
        <f t="shared" si="6"/>
        <v>1</v>
      </c>
      <c r="O7" s="9">
        <f t="shared" si="7"/>
        <v>1</v>
      </c>
      <c r="P7" s="9">
        <f t="shared" si="8"/>
        <v>1</v>
      </c>
      <c r="Q7" s="9">
        <f t="shared" si="9"/>
        <v>1</v>
      </c>
      <c r="R7" s="9">
        <f t="shared" si="10"/>
        <v>0</v>
      </c>
      <c r="S7" s="9">
        <f t="shared" si="11"/>
        <v>0</v>
      </c>
      <c r="T7" s="9">
        <f t="shared" si="12"/>
        <v>0</v>
      </c>
      <c r="U7" s="14" t="str">
        <f t="shared" si="1"/>
        <v>Deck, C</v>
      </c>
      <c r="V7" s="14" t="str">
        <f t="shared" si="2"/>
        <v>MGC "AS" Witten</v>
      </c>
      <c r="W7" s="3"/>
    </row>
    <row r="8" spans="1:23" ht="12.75">
      <c r="A8" s="2" t="s">
        <v>187</v>
      </c>
      <c r="B8" s="2" t="s">
        <v>152</v>
      </c>
      <c r="C8" s="4" t="s">
        <v>155</v>
      </c>
      <c r="D8" s="5">
        <v>92</v>
      </c>
      <c r="E8" s="5">
        <v>91</v>
      </c>
      <c r="F8" s="6">
        <v>98</v>
      </c>
      <c r="G8" s="6">
        <v>87</v>
      </c>
      <c r="H8" s="6">
        <v>90</v>
      </c>
      <c r="I8" s="6">
        <v>90</v>
      </c>
      <c r="J8" s="33"/>
      <c r="K8" s="9">
        <f t="shared" si="3"/>
        <v>0</v>
      </c>
      <c r="L8" s="9">
        <f t="shared" si="4"/>
        <v>0</v>
      </c>
      <c r="M8" s="9">
        <f t="shared" si="5"/>
        <v>0</v>
      </c>
      <c r="N8" s="9">
        <f t="shared" si="6"/>
        <v>2</v>
      </c>
      <c r="O8" s="9">
        <f t="shared" si="7"/>
        <v>1</v>
      </c>
      <c r="P8" s="9">
        <f t="shared" si="8"/>
        <v>1</v>
      </c>
      <c r="Q8" s="9">
        <f t="shared" si="9"/>
        <v>1</v>
      </c>
      <c r="R8" s="9">
        <f t="shared" si="10"/>
        <v>0</v>
      </c>
      <c r="S8" s="9">
        <f t="shared" si="11"/>
        <v>0</v>
      </c>
      <c r="T8" s="9">
        <f t="shared" si="12"/>
        <v>0</v>
      </c>
      <c r="U8" s="14" t="str">
        <f t="shared" si="1"/>
        <v>Endberg, C</v>
      </c>
      <c r="V8" s="14" t="str">
        <f t="shared" si="2"/>
        <v>MGC "AS" Witten</v>
      </c>
      <c r="W8" s="3"/>
    </row>
    <row r="9" spans="1:23" ht="12.75">
      <c r="A9" s="2" t="s">
        <v>188</v>
      </c>
      <c r="B9" s="2" t="s">
        <v>152</v>
      </c>
      <c r="C9" s="4" t="s">
        <v>156</v>
      </c>
      <c r="D9" s="5"/>
      <c r="E9" s="5">
        <v>94</v>
      </c>
      <c r="F9" s="6">
        <v>100</v>
      </c>
      <c r="G9" s="6">
        <v>88</v>
      </c>
      <c r="H9" s="6">
        <v>109</v>
      </c>
      <c r="I9" s="6">
        <v>98</v>
      </c>
      <c r="J9" s="33"/>
      <c r="K9" s="9">
        <f t="shared" si="3"/>
        <v>0</v>
      </c>
      <c r="L9" s="9">
        <f t="shared" si="4"/>
        <v>0</v>
      </c>
      <c r="M9" s="9">
        <f t="shared" si="5"/>
        <v>1</v>
      </c>
      <c r="N9" s="9">
        <f t="shared" si="6"/>
        <v>2</v>
      </c>
      <c r="O9" s="9">
        <f t="shared" si="7"/>
        <v>1</v>
      </c>
      <c r="P9" s="9">
        <f t="shared" si="8"/>
        <v>1</v>
      </c>
      <c r="Q9" s="9">
        <f t="shared" si="9"/>
        <v>1</v>
      </c>
      <c r="R9" s="9">
        <f t="shared" si="10"/>
        <v>0</v>
      </c>
      <c r="S9" s="9">
        <f t="shared" si="11"/>
        <v>0</v>
      </c>
      <c r="T9" s="9">
        <f t="shared" si="12"/>
        <v>0</v>
      </c>
      <c r="U9" s="14" t="str">
        <f t="shared" si="1"/>
        <v>Endberg, W</v>
      </c>
      <c r="V9" s="14" t="str">
        <f t="shared" si="2"/>
        <v>MGC "AS" Witten</v>
      </c>
      <c r="W9" s="3"/>
    </row>
    <row r="10" spans="1:23" ht="12.75">
      <c r="A10" s="2" t="s">
        <v>210</v>
      </c>
      <c r="B10" s="2" t="s">
        <v>152</v>
      </c>
      <c r="C10" s="4" t="s">
        <v>158</v>
      </c>
      <c r="D10" s="5">
        <v>120</v>
      </c>
      <c r="E10" s="5">
        <v>116</v>
      </c>
      <c r="F10" s="6">
        <v>104</v>
      </c>
      <c r="G10" s="6">
        <v>118</v>
      </c>
      <c r="H10" s="6"/>
      <c r="I10" s="6"/>
      <c r="J10" s="33"/>
      <c r="K10" s="9">
        <f t="shared" si="3"/>
        <v>0</v>
      </c>
      <c r="L10" s="9">
        <f t="shared" si="4"/>
        <v>0</v>
      </c>
      <c r="M10" s="9">
        <f t="shared" si="5"/>
        <v>1</v>
      </c>
      <c r="N10" s="9">
        <f t="shared" si="6"/>
        <v>2</v>
      </c>
      <c r="O10" s="9">
        <f t="shared" si="7"/>
        <v>2</v>
      </c>
      <c r="P10" s="9">
        <f t="shared" si="8"/>
        <v>1</v>
      </c>
      <c r="Q10" s="9">
        <f t="shared" si="9"/>
        <v>1</v>
      </c>
      <c r="R10" s="9">
        <f t="shared" si="10"/>
        <v>0</v>
      </c>
      <c r="S10" s="9">
        <f t="shared" si="11"/>
        <v>0</v>
      </c>
      <c r="T10" s="9">
        <f t="shared" si="12"/>
        <v>0</v>
      </c>
      <c r="U10" s="14" t="str">
        <f t="shared" si="1"/>
        <v>Gärtig, H</v>
      </c>
      <c r="V10" s="14" t="str">
        <f t="shared" si="2"/>
        <v>MGC "AS" Witten</v>
      </c>
      <c r="W10" s="3"/>
    </row>
    <row r="11" spans="1:23" ht="12.75">
      <c r="A11" s="2" t="s">
        <v>189</v>
      </c>
      <c r="B11" s="2" t="s">
        <v>152</v>
      </c>
      <c r="C11" s="4" t="s">
        <v>157</v>
      </c>
      <c r="D11" s="5">
        <v>98</v>
      </c>
      <c r="E11" s="5">
        <v>98</v>
      </c>
      <c r="F11" s="6"/>
      <c r="G11" s="6"/>
      <c r="H11" s="6"/>
      <c r="I11" s="6"/>
      <c r="J11" s="33"/>
      <c r="K11" s="9">
        <f t="shared" si="3"/>
        <v>1</v>
      </c>
      <c r="L11" s="9">
        <f t="shared" si="4"/>
        <v>0</v>
      </c>
      <c r="M11" s="9">
        <f t="shared" si="5"/>
        <v>1</v>
      </c>
      <c r="N11" s="9">
        <f t="shared" si="6"/>
        <v>2</v>
      </c>
      <c r="O11" s="9">
        <f t="shared" si="7"/>
        <v>2</v>
      </c>
      <c r="P11" s="9">
        <f t="shared" si="8"/>
        <v>1</v>
      </c>
      <c r="Q11" s="9">
        <f t="shared" si="9"/>
        <v>1</v>
      </c>
      <c r="R11" s="9">
        <f t="shared" si="10"/>
        <v>0</v>
      </c>
      <c r="S11" s="9">
        <f t="shared" si="11"/>
        <v>0</v>
      </c>
      <c r="T11" s="9">
        <f t="shared" si="12"/>
        <v>0</v>
      </c>
      <c r="U11" s="14" t="str">
        <f t="shared" si="1"/>
        <v>Gregorszewski, K</v>
      </c>
      <c r="V11" s="14" t="str">
        <f t="shared" si="2"/>
        <v>MGC "AS" Witten</v>
      </c>
      <c r="W11" s="3"/>
    </row>
    <row r="12" spans="1:23" ht="12.75">
      <c r="A12" s="2" t="s">
        <v>190</v>
      </c>
      <c r="B12" s="2" t="s">
        <v>152</v>
      </c>
      <c r="C12" s="4" t="s">
        <v>157</v>
      </c>
      <c r="D12" s="5">
        <v>96</v>
      </c>
      <c r="E12" s="5">
        <v>98</v>
      </c>
      <c r="F12" s="6">
        <v>82</v>
      </c>
      <c r="G12" s="6">
        <v>86</v>
      </c>
      <c r="H12" s="6">
        <v>95</v>
      </c>
      <c r="I12" s="6">
        <v>87</v>
      </c>
      <c r="J12" s="33"/>
      <c r="K12" s="9">
        <f t="shared" si="3"/>
        <v>2</v>
      </c>
      <c r="L12" s="9">
        <f t="shared" si="4"/>
        <v>0</v>
      </c>
      <c r="M12" s="9">
        <f t="shared" si="5"/>
        <v>1</v>
      </c>
      <c r="N12" s="9">
        <f t="shared" si="6"/>
        <v>2</v>
      </c>
      <c r="O12" s="9">
        <f t="shared" si="7"/>
        <v>2</v>
      </c>
      <c r="P12" s="9">
        <f t="shared" si="8"/>
        <v>1</v>
      </c>
      <c r="Q12" s="9">
        <f t="shared" si="9"/>
        <v>1</v>
      </c>
      <c r="R12" s="9">
        <f t="shared" si="10"/>
        <v>0</v>
      </c>
      <c r="S12" s="9">
        <f t="shared" si="11"/>
        <v>0</v>
      </c>
      <c r="T12" s="9">
        <f t="shared" si="12"/>
        <v>0</v>
      </c>
      <c r="U12" s="14" t="str">
        <f t="shared" si="1"/>
        <v>Klein, T</v>
      </c>
      <c r="V12" s="14" t="str">
        <f t="shared" si="2"/>
        <v>MGC "AS" Witten</v>
      </c>
      <c r="W12" s="3"/>
    </row>
    <row r="13" spans="1:23" ht="12.75">
      <c r="A13" s="2" t="s">
        <v>191</v>
      </c>
      <c r="B13" s="2" t="s">
        <v>152</v>
      </c>
      <c r="C13" s="4" t="s">
        <v>157</v>
      </c>
      <c r="D13" s="5">
        <v>98</v>
      </c>
      <c r="E13" s="5"/>
      <c r="F13" s="6">
        <v>94</v>
      </c>
      <c r="G13" s="6">
        <v>106</v>
      </c>
      <c r="H13" s="6">
        <v>100</v>
      </c>
      <c r="I13" s="6">
        <v>104</v>
      </c>
      <c r="J13" s="33"/>
      <c r="K13" s="9">
        <f t="shared" si="3"/>
        <v>3</v>
      </c>
      <c r="L13" s="9">
        <f t="shared" si="4"/>
        <v>0</v>
      </c>
      <c r="M13" s="9">
        <f t="shared" si="5"/>
        <v>1</v>
      </c>
      <c r="N13" s="9">
        <f t="shared" si="6"/>
        <v>2</v>
      </c>
      <c r="O13" s="9">
        <f t="shared" si="7"/>
        <v>2</v>
      </c>
      <c r="P13" s="9">
        <f t="shared" si="8"/>
        <v>1</v>
      </c>
      <c r="Q13" s="9">
        <f t="shared" si="9"/>
        <v>1</v>
      </c>
      <c r="R13" s="9">
        <f t="shared" si="10"/>
        <v>0</v>
      </c>
      <c r="S13" s="9">
        <f t="shared" si="11"/>
        <v>0</v>
      </c>
      <c r="T13" s="9">
        <f t="shared" si="12"/>
        <v>0</v>
      </c>
      <c r="U13" s="14" t="str">
        <f t="shared" si="1"/>
        <v>Krause, M</v>
      </c>
      <c r="V13" s="14" t="str">
        <f t="shared" si="2"/>
        <v>MGC "AS" Witten</v>
      </c>
      <c r="W13" s="3"/>
    </row>
    <row r="14" spans="1:23" ht="12.75">
      <c r="A14" s="2" t="s">
        <v>208</v>
      </c>
      <c r="B14" s="2" t="s">
        <v>152</v>
      </c>
      <c r="C14" s="4" t="s">
        <v>158</v>
      </c>
      <c r="D14" s="5">
        <v>93</v>
      </c>
      <c r="E14" s="5">
        <v>95</v>
      </c>
      <c r="F14" s="6">
        <v>108</v>
      </c>
      <c r="G14" s="6">
        <v>106</v>
      </c>
      <c r="H14" s="6">
        <v>98</v>
      </c>
      <c r="I14" s="6">
        <v>112</v>
      </c>
      <c r="J14" s="33"/>
      <c r="K14" s="9">
        <f t="shared" si="3"/>
        <v>3</v>
      </c>
      <c r="L14" s="9">
        <f t="shared" si="4"/>
        <v>0</v>
      </c>
      <c r="M14" s="9">
        <f t="shared" si="5"/>
        <v>1</v>
      </c>
      <c r="N14" s="9">
        <f t="shared" si="6"/>
        <v>2</v>
      </c>
      <c r="O14" s="9">
        <f t="shared" si="7"/>
        <v>3</v>
      </c>
      <c r="P14" s="9">
        <f t="shared" si="8"/>
        <v>1</v>
      </c>
      <c r="Q14" s="9">
        <f t="shared" si="9"/>
        <v>1</v>
      </c>
      <c r="R14" s="9">
        <f t="shared" si="10"/>
        <v>0</v>
      </c>
      <c r="S14" s="9">
        <f t="shared" si="11"/>
        <v>0</v>
      </c>
      <c r="T14" s="9">
        <f t="shared" si="12"/>
        <v>0</v>
      </c>
      <c r="U14" s="14" t="str">
        <f t="shared" si="1"/>
        <v>Krüger, S</v>
      </c>
      <c r="V14" s="14" t="str">
        <f t="shared" si="2"/>
        <v>MGC "AS" Witten</v>
      </c>
      <c r="W14" s="3"/>
    </row>
    <row r="15" spans="1:23" ht="12.75">
      <c r="A15" s="2" t="s">
        <v>192</v>
      </c>
      <c r="B15" s="2" t="s">
        <v>152</v>
      </c>
      <c r="C15" s="4" t="s">
        <v>154</v>
      </c>
      <c r="D15" s="5">
        <v>108</v>
      </c>
      <c r="E15" s="5">
        <v>105</v>
      </c>
      <c r="F15" s="6">
        <v>106</v>
      </c>
      <c r="G15" s="6">
        <v>92</v>
      </c>
      <c r="H15" s="6">
        <v>89</v>
      </c>
      <c r="I15" s="6">
        <v>90</v>
      </c>
      <c r="J15" s="33"/>
      <c r="K15" s="9">
        <f t="shared" si="3"/>
        <v>3</v>
      </c>
      <c r="L15" s="9">
        <f t="shared" si="4"/>
        <v>0</v>
      </c>
      <c r="M15" s="9">
        <f t="shared" si="5"/>
        <v>1</v>
      </c>
      <c r="N15" s="9">
        <f t="shared" si="6"/>
        <v>2</v>
      </c>
      <c r="O15" s="9">
        <f t="shared" si="7"/>
        <v>3</v>
      </c>
      <c r="P15" s="9">
        <f t="shared" si="8"/>
        <v>1</v>
      </c>
      <c r="Q15" s="9">
        <f t="shared" si="9"/>
        <v>1</v>
      </c>
      <c r="R15" s="9">
        <f t="shared" si="10"/>
        <v>0</v>
      </c>
      <c r="S15" s="9">
        <f t="shared" si="11"/>
        <v>1</v>
      </c>
      <c r="T15" s="9">
        <f t="shared" si="12"/>
        <v>0</v>
      </c>
      <c r="U15" s="14" t="str">
        <f>A15</f>
        <v>Kube, S</v>
      </c>
      <c r="V15" s="14" t="str">
        <f>B15</f>
        <v>MGC "AS" Witten</v>
      </c>
      <c r="W15" s="3"/>
    </row>
    <row r="16" spans="1:23" ht="12.75">
      <c r="A16" s="2" t="s">
        <v>193</v>
      </c>
      <c r="B16" s="2" t="s">
        <v>152</v>
      </c>
      <c r="C16" s="4" t="s">
        <v>158</v>
      </c>
      <c r="D16" s="5">
        <v>92</v>
      </c>
      <c r="E16" s="5">
        <v>102</v>
      </c>
      <c r="F16" s="6">
        <v>99</v>
      </c>
      <c r="G16" s="6">
        <v>94</v>
      </c>
      <c r="H16" s="6">
        <v>96</v>
      </c>
      <c r="I16" s="6">
        <v>94</v>
      </c>
      <c r="J16" s="33"/>
      <c r="K16" s="9">
        <f t="shared" si="3"/>
        <v>3</v>
      </c>
      <c r="L16" s="9">
        <f t="shared" si="4"/>
        <v>0</v>
      </c>
      <c r="M16" s="9">
        <f t="shared" si="5"/>
        <v>1</v>
      </c>
      <c r="N16" s="9">
        <f t="shared" si="6"/>
        <v>2</v>
      </c>
      <c r="O16" s="9">
        <f t="shared" si="7"/>
        <v>4</v>
      </c>
      <c r="P16" s="9">
        <f t="shared" si="8"/>
        <v>1</v>
      </c>
      <c r="Q16" s="9">
        <f t="shared" si="9"/>
        <v>1</v>
      </c>
      <c r="R16" s="9">
        <f t="shared" si="10"/>
        <v>0</v>
      </c>
      <c r="S16" s="9">
        <f t="shared" si="11"/>
        <v>1</v>
      </c>
      <c r="T16" s="9">
        <f t="shared" si="12"/>
        <v>0</v>
      </c>
      <c r="U16" s="14" t="str">
        <f t="shared" si="1"/>
        <v>Lange, D</v>
      </c>
      <c r="V16" s="14" t="str">
        <f t="shared" si="2"/>
        <v>MGC "AS" Witten</v>
      </c>
      <c r="W16" s="3"/>
    </row>
    <row r="17" spans="1:23" ht="12.75">
      <c r="A17" s="2" t="s">
        <v>194</v>
      </c>
      <c r="B17" s="2" t="s">
        <v>152</v>
      </c>
      <c r="C17" s="4" t="s">
        <v>155</v>
      </c>
      <c r="D17" s="5">
        <v>101</v>
      </c>
      <c r="E17" s="5">
        <v>102</v>
      </c>
      <c r="F17" s="6">
        <v>114</v>
      </c>
      <c r="G17" s="6">
        <v>105</v>
      </c>
      <c r="H17" s="6">
        <v>109</v>
      </c>
      <c r="I17" s="6">
        <v>107</v>
      </c>
      <c r="J17" s="33"/>
      <c r="K17" s="9">
        <f t="shared" si="3"/>
        <v>3</v>
      </c>
      <c r="L17" s="9">
        <f t="shared" si="4"/>
        <v>0</v>
      </c>
      <c r="M17" s="9">
        <f t="shared" si="5"/>
        <v>1</v>
      </c>
      <c r="N17" s="9">
        <f t="shared" si="6"/>
        <v>3</v>
      </c>
      <c r="O17" s="9">
        <f t="shared" si="7"/>
        <v>4</v>
      </c>
      <c r="P17" s="9">
        <f t="shared" si="8"/>
        <v>1</v>
      </c>
      <c r="Q17" s="9">
        <f t="shared" si="9"/>
        <v>1</v>
      </c>
      <c r="R17" s="9">
        <f t="shared" si="10"/>
        <v>0</v>
      </c>
      <c r="S17" s="9">
        <f t="shared" si="11"/>
        <v>1</v>
      </c>
      <c r="T17" s="9">
        <f t="shared" si="12"/>
        <v>0</v>
      </c>
      <c r="U17" s="14" t="str">
        <f t="shared" si="1"/>
        <v>Lange, M</v>
      </c>
      <c r="V17" s="14" t="str">
        <f t="shared" si="2"/>
        <v>MGC "AS" Witten</v>
      </c>
      <c r="W17" s="3"/>
    </row>
    <row r="18" spans="1:23" ht="12.75">
      <c r="A18" s="2" t="s">
        <v>195</v>
      </c>
      <c r="B18" s="2" t="s">
        <v>152</v>
      </c>
      <c r="C18" s="4" t="s">
        <v>158</v>
      </c>
      <c r="D18" s="5">
        <v>90</v>
      </c>
      <c r="E18" s="5">
        <v>96</v>
      </c>
      <c r="F18" s="6">
        <v>92</v>
      </c>
      <c r="G18" s="6">
        <v>98</v>
      </c>
      <c r="H18" s="6">
        <v>92</v>
      </c>
      <c r="I18" s="6">
        <v>87</v>
      </c>
      <c r="J18" s="33"/>
      <c r="K18" s="9">
        <f t="shared" si="3"/>
        <v>3</v>
      </c>
      <c r="L18" s="9">
        <f t="shared" si="4"/>
        <v>0</v>
      </c>
      <c r="M18" s="9">
        <f t="shared" si="5"/>
        <v>1</v>
      </c>
      <c r="N18" s="9">
        <f t="shared" si="6"/>
        <v>3</v>
      </c>
      <c r="O18" s="9">
        <f t="shared" si="7"/>
        <v>5</v>
      </c>
      <c r="P18" s="9">
        <f t="shared" si="8"/>
        <v>1</v>
      </c>
      <c r="Q18" s="9">
        <f t="shared" si="9"/>
        <v>1</v>
      </c>
      <c r="R18" s="9">
        <f t="shared" si="10"/>
        <v>0</v>
      </c>
      <c r="S18" s="9">
        <f t="shared" si="11"/>
        <v>1</v>
      </c>
      <c r="T18" s="9">
        <f t="shared" si="12"/>
        <v>0</v>
      </c>
      <c r="U18" s="14" t="str">
        <f t="shared" si="1"/>
        <v>Lenk, R</v>
      </c>
      <c r="V18" s="14" t="str">
        <f t="shared" si="2"/>
        <v>MGC "AS" Witten</v>
      </c>
      <c r="W18" s="3"/>
    </row>
    <row r="19" spans="1:23" ht="12.75">
      <c r="A19" s="2" t="s">
        <v>196</v>
      </c>
      <c r="B19" s="2" t="s">
        <v>152</v>
      </c>
      <c r="C19" s="4" t="s">
        <v>161</v>
      </c>
      <c r="D19" s="5"/>
      <c r="E19" s="5"/>
      <c r="F19" s="6"/>
      <c r="G19" s="6"/>
      <c r="H19" s="6"/>
      <c r="I19" s="6"/>
      <c r="J19" s="33"/>
      <c r="K19" s="9">
        <f t="shared" si="3"/>
        <v>3</v>
      </c>
      <c r="L19" s="9">
        <f t="shared" si="4"/>
        <v>0</v>
      </c>
      <c r="M19" s="9">
        <f t="shared" si="5"/>
        <v>1</v>
      </c>
      <c r="N19" s="9">
        <f t="shared" si="6"/>
        <v>3</v>
      </c>
      <c r="O19" s="9">
        <f t="shared" si="7"/>
        <v>5</v>
      </c>
      <c r="P19" s="9">
        <f t="shared" si="8"/>
        <v>1</v>
      </c>
      <c r="Q19" s="9">
        <f t="shared" si="9"/>
        <v>1</v>
      </c>
      <c r="R19" s="9">
        <f t="shared" si="10"/>
        <v>0</v>
      </c>
      <c r="S19" s="9">
        <f t="shared" si="11"/>
        <v>1</v>
      </c>
      <c r="T19" s="9">
        <f t="shared" si="12"/>
        <v>0</v>
      </c>
      <c r="U19" s="14" t="str">
        <f t="shared" si="1"/>
        <v>Lütje, W</v>
      </c>
      <c r="V19" s="14" t="str">
        <f t="shared" si="2"/>
        <v>MGC "AS" Witten</v>
      </c>
      <c r="W19" s="3"/>
    </row>
    <row r="20" spans="1:23" ht="12.75">
      <c r="A20" s="2" t="s">
        <v>197</v>
      </c>
      <c r="B20" s="2" t="s">
        <v>152</v>
      </c>
      <c r="C20" s="4" t="s">
        <v>156</v>
      </c>
      <c r="D20" s="5">
        <v>90</v>
      </c>
      <c r="E20" s="5">
        <v>91</v>
      </c>
      <c r="F20" s="6">
        <v>88</v>
      </c>
      <c r="G20" s="6">
        <v>92</v>
      </c>
      <c r="H20" s="6">
        <v>92</v>
      </c>
      <c r="I20" s="6">
        <v>86</v>
      </c>
      <c r="J20" s="33"/>
      <c r="K20" s="9">
        <f t="shared" si="3"/>
        <v>3</v>
      </c>
      <c r="L20" s="9">
        <f t="shared" si="4"/>
        <v>0</v>
      </c>
      <c r="M20" s="9">
        <f t="shared" si="5"/>
        <v>2</v>
      </c>
      <c r="N20" s="9">
        <f t="shared" si="6"/>
        <v>3</v>
      </c>
      <c r="O20" s="9">
        <f t="shared" si="7"/>
        <v>5</v>
      </c>
      <c r="P20" s="9">
        <f t="shared" si="8"/>
        <v>1</v>
      </c>
      <c r="Q20" s="9">
        <f t="shared" si="9"/>
        <v>1</v>
      </c>
      <c r="R20" s="9">
        <f t="shared" si="10"/>
        <v>0</v>
      </c>
      <c r="S20" s="9">
        <f t="shared" si="11"/>
        <v>1</v>
      </c>
      <c r="T20" s="9">
        <f t="shared" si="12"/>
        <v>0</v>
      </c>
      <c r="U20" s="14" t="str">
        <f t="shared" si="1"/>
        <v>Lüttenberg, W</v>
      </c>
      <c r="V20" s="14" t="str">
        <f t="shared" si="2"/>
        <v>MGC "AS" Witten</v>
      </c>
      <c r="W20" s="3"/>
    </row>
    <row r="21" spans="1:23" ht="12.75">
      <c r="A21" s="2" t="s">
        <v>198</v>
      </c>
      <c r="B21" s="2" t="s">
        <v>152</v>
      </c>
      <c r="C21" s="4" t="s">
        <v>153</v>
      </c>
      <c r="D21" s="5">
        <v>89</v>
      </c>
      <c r="E21" s="5">
        <v>103</v>
      </c>
      <c r="F21" s="6">
        <v>87</v>
      </c>
      <c r="G21" s="6">
        <v>97</v>
      </c>
      <c r="H21" s="6">
        <v>96</v>
      </c>
      <c r="I21" s="6">
        <v>97</v>
      </c>
      <c r="J21" s="33"/>
      <c r="K21" s="9">
        <f t="shared" si="3"/>
        <v>3</v>
      </c>
      <c r="L21" s="9">
        <f t="shared" si="4"/>
        <v>1</v>
      </c>
      <c r="M21" s="9">
        <f t="shared" si="5"/>
        <v>2</v>
      </c>
      <c r="N21" s="9">
        <f t="shared" si="6"/>
        <v>3</v>
      </c>
      <c r="O21" s="9">
        <f t="shared" si="7"/>
        <v>5</v>
      </c>
      <c r="P21" s="9">
        <f t="shared" si="8"/>
        <v>1</v>
      </c>
      <c r="Q21" s="9">
        <f t="shared" si="9"/>
        <v>1</v>
      </c>
      <c r="R21" s="9">
        <f t="shared" si="10"/>
        <v>0</v>
      </c>
      <c r="S21" s="9">
        <f t="shared" si="11"/>
        <v>1</v>
      </c>
      <c r="T21" s="9">
        <f t="shared" si="12"/>
        <v>0</v>
      </c>
      <c r="U21" s="14" t="str">
        <f t="shared" si="1"/>
        <v>Rahlfes, S</v>
      </c>
      <c r="V21" s="14" t="str">
        <f t="shared" si="2"/>
        <v>MGC "AS" Witten</v>
      </c>
      <c r="W21" s="3"/>
    </row>
    <row r="22" spans="1:23" ht="12.75">
      <c r="A22" s="2" t="s">
        <v>199</v>
      </c>
      <c r="B22" s="2" t="s">
        <v>152</v>
      </c>
      <c r="C22" s="4" t="s">
        <v>157</v>
      </c>
      <c r="D22" s="5">
        <v>96</v>
      </c>
      <c r="E22" s="5">
        <v>85</v>
      </c>
      <c r="F22" s="6">
        <v>87</v>
      </c>
      <c r="G22" s="6">
        <v>89</v>
      </c>
      <c r="H22" s="6">
        <v>85</v>
      </c>
      <c r="I22" s="6">
        <v>89</v>
      </c>
      <c r="J22" s="33"/>
      <c r="K22" s="9">
        <f t="shared" si="3"/>
        <v>4</v>
      </c>
      <c r="L22" s="9">
        <f t="shared" si="4"/>
        <v>1</v>
      </c>
      <c r="M22" s="9">
        <f t="shared" si="5"/>
        <v>2</v>
      </c>
      <c r="N22" s="9">
        <f t="shared" si="6"/>
        <v>3</v>
      </c>
      <c r="O22" s="9">
        <f t="shared" si="7"/>
        <v>5</v>
      </c>
      <c r="P22" s="9">
        <f t="shared" si="8"/>
        <v>1</v>
      </c>
      <c r="Q22" s="9">
        <f t="shared" si="9"/>
        <v>1</v>
      </c>
      <c r="R22" s="9">
        <f t="shared" si="10"/>
        <v>0</v>
      </c>
      <c r="S22" s="9">
        <f t="shared" si="11"/>
        <v>1</v>
      </c>
      <c r="T22" s="9">
        <f t="shared" si="12"/>
        <v>0</v>
      </c>
      <c r="U22" s="14" t="str">
        <f t="shared" si="1"/>
        <v>Reese, A</v>
      </c>
      <c r="V22" s="14" t="str">
        <f t="shared" si="2"/>
        <v>MGC "AS" Witten</v>
      </c>
      <c r="W22" s="3"/>
    </row>
    <row r="23" spans="1:23" ht="12.75">
      <c r="A23" s="2" t="s">
        <v>200</v>
      </c>
      <c r="B23" s="2" t="s">
        <v>152</v>
      </c>
      <c r="C23" s="4" t="s">
        <v>155</v>
      </c>
      <c r="D23" s="5">
        <v>99</v>
      </c>
      <c r="E23" s="5">
        <v>99</v>
      </c>
      <c r="F23" s="6">
        <v>96</v>
      </c>
      <c r="G23" s="6"/>
      <c r="H23" s="6">
        <v>103</v>
      </c>
      <c r="I23" s="6">
        <v>98</v>
      </c>
      <c r="J23" s="33"/>
      <c r="K23" s="9">
        <f t="shared" si="3"/>
        <v>4</v>
      </c>
      <c r="L23" s="9">
        <f t="shared" si="4"/>
        <v>1</v>
      </c>
      <c r="M23" s="9">
        <f t="shared" si="5"/>
        <v>2</v>
      </c>
      <c r="N23" s="9">
        <f t="shared" si="6"/>
        <v>4</v>
      </c>
      <c r="O23" s="9">
        <f t="shared" si="7"/>
        <v>5</v>
      </c>
      <c r="P23" s="9">
        <f t="shared" si="8"/>
        <v>1</v>
      </c>
      <c r="Q23" s="9">
        <f t="shared" si="9"/>
        <v>1</v>
      </c>
      <c r="R23" s="9">
        <f t="shared" si="10"/>
        <v>0</v>
      </c>
      <c r="S23" s="9">
        <f t="shared" si="11"/>
        <v>1</v>
      </c>
      <c r="T23" s="9">
        <f t="shared" si="12"/>
        <v>0</v>
      </c>
      <c r="U23" s="14" t="str">
        <f t="shared" si="1"/>
        <v>Ruge, M</v>
      </c>
      <c r="V23" s="14" t="str">
        <f t="shared" si="2"/>
        <v>MGC "AS" Witten</v>
      </c>
      <c r="W23" s="3"/>
    </row>
    <row r="24" spans="1:23" ht="12.75">
      <c r="A24" s="2" t="s">
        <v>201</v>
      </c>
      <c r="B24" s="2" t="s">
        <v>152</v>
      </c>
      <c r="C24" s="4" t="s">
        <v>162</v>
      </c>
      <c r="D24" s="5"/>
      <c r="E24" s="5"/>
      <c r="F24" s="6"/>
      <c r="G24" s="6"/>
      <c r="H24" s="6"/>
      <c r="I24" s="6"/>
      <c r="J24" s="33"/>
      <c r="K24" s="9">
        <f t="shared" si="3"/>
        <v>4</v>
      </c>
      <c r="L24" s="9">
        <f t="shared" si="4"/>
        <v>1</v>
      </c>
      <c r="M24" s="9">
        <f t="shared" si="5"/>
        <v>2</v>
      </c>
      <c r="N24" s="9">
        <f t="shared" si="6"/>
        <v>4</v>
      </c>
      <c r="O24" s="9">
        <f t="shared" si="7"/>
        <v>5</v>
      </c>
      <c r="P24" s="9">
        <f t="shared" si="8"/>
        <v>1</v>
      </c>
      <c r="Q24" s="9">
        <f t="shared" si="9"/>
        <v>1</v>
      </c>
      <c r="R24" s="9">
        <f t="shared" si="10"/>
        <v>0</v>
      </c>
      <c r="S24" s="9">
        <f t="shared" si="11"/>
        <v>1</v>
      </c>
      <c r="T24" s="9">
        <f t="shared" si="12"/>
        <v>0</v>
      </c>
      <c r="U24" s="14" t="str">
        <f t="shared" si="1"/>
        <v>Schlottner,M</v>
      </c>
      <c r="V24" s="14" t="str">
        <f t="shared" si="2"/>
        <v>MGC "AS" Witten</v>
      </c>
      <c r="W24" s="3"/>
    </row>
    <row r="25" spans="1:23" ht="12.75">
      <c r="A25" s="2" t="s">
        <v>202</v>
      </c>
      <c r="B25" s="2" t="s">
        <v>152</v>
      </c>
      <c r="C25" s="4" t="s">
        <v>162</v>
      </c>
      <c r="D25" s="5"/>
      <c r="E25" s="5"/>
      <c r="F25" s="6"/>
      <c r="G25" s="6"/>
      <c r="H25" s="6"/>
      <c r="I25" s="6"/>
      <c r="J25" s="33"/>
      <c r="K25" s="9">
        <f t="shared" si="3"/>
        <v>4</v>
      </c>
      <c r="L25" s="9">
        <f t="shared" si="4"/>
        <v>1</v>
      </c>
      <c r="M25" s="9">
        <f t="shared" si="5"/>
        <v>2</v>
      </c>
      <c r="N25" s="9">
        <f t="shared" si="6"/>
        <v>4</v>
      </c>
      <c r="O25" s="9">
        <f t="shared" si="7"/>
        <v>5</v>
      </c>
      <c r="P25" s="9">
        <f t="shared" si="8"/>
        <v>1</v>
      </c>
      <c r="Q25" s="9">
        <f t="shared" si="9"/>
        <v>1</v>
      </c>
      <c r="R25" s="9">
        <f t="shared" si="10"/>
        <v>0</v>
      </c>
      <c r="S25" s="9">
        <f t="shared" si="11"/>
        <v>1</v>
      </c>
      <c r="T25" s="9">
        <f t="shared" si="12"/>
        <v>0</v>
      </c>
      <c r="U25" s="14" t="str">
        <f t="shared" si="1"/>
        <v>Schnaare, J</v>
      </c>
      <c r="V25" s="14" t="str">
        <f t="shared" si="2"/>
        <v>MGC "AS" Witten</v>
      </c>
      <c r="W25" s="3"/>
    </row>
    <row r="26" spans="1:23" ht="12.75">
      <c r="A26" s="2" t="s">
        <v>203</v>
      </c>
      <c r="B26" s="2" t="s">
        <v>152</v>
      </c>
      <c r="C26" s="4" t="s">
        <v>157</v>
      </c>
      <c r="D26" s="5">
        <v>96</v>
      </c>
      <c r="E26" s="5">
        <v>96</v>
      </c>
      <c r="F26" s="6">
        <v>98</v>
      </c>
      <c r="G26" s="6"/>
      <c r="H26" s="6">
        <v>98</v>
      </c>
      <c r="I26" s="6">
        <v>97</v>
      </c>
      <c r="J26" s="33"/>
      <c r="K26" s="9">
        <f t="shared" si="3"/>
        <v>5</v>
      </c>
      <c r="L26" s="9">
        <f t="shared" si="4"/>
        <v>1</v>
      </c>
      <c r="M26" s="9">
        <f t="shared" si="5"/>
        <v>2</v>
      </c>
      <c r="N26" s="9">
        <f t="shared" si="6"/>
        <v>4</v>
      </c>
      <c r="O26" s="9">
        <f t="shared" si="7"/>
        <v>5</v>
      </c>
      <c r="P26" s="9">
        <f t="shared" si="8"/>
        <v>1</v>
      </c>
      <c r="Q26" s="9">
        <f t="shared" si="9"/>
        <v>1</v>
      </c>
      <c r="R26" s="9">
        <f t="shared" si="10"/>
        <v>0</v>
      </c>
      <c r="S26" s="9">
        <f t="shared" si="11"/>
        <v>1</v>
      </c>
      <c r="T26" s="9">
        <f t="shared" si="12"/>
        <v>0</v>
      </c>
      <c r="U26" s="14" t="str">
        <f t="shared" si="1"/>
        <v>Tabor, P</v>
      </c>
      <c r="V26" s="14" t="str">
        <f t="shared" si="2"/>
        <v>MGC "AS" Witten</v>
      </c>
      <c r="W26" s="3"/>
    </row>
    <row r="27" spans="1:23" ht="12.75">
      <c r="A27" s="2" t="s">
        <v>204</v>
      </c>
      <c r="B27" s="2" t="s">
        <v>152</v>
      </c>
      <c r="C27" s="4" t="s">
        <v>158</v>
      </c>
      <c r="D27" s="5">
        <v>101</v>
      </c>
      <c r="E27" s="5">
        <v>106</v>
      </c>
      <c r="F27" s="6">
        <v>97</v>
      </c>
      <c r="G27" s="6">
        <v>106</v>
      </c>
      <c r="H27" s="6">
        <v>100</v>
      </c>
      <c r="I27" s="6">
        <v>93</v>
      </c>
      <c r="J27" s="33"/>
      <c r="K27" s="9">
        <f t="shared" si="3"/>
        <v>5</v>
      </c>
      <c r="L27" s="9">
        <f t="shared" si="4"/>
        <v>1</v>
      </c>
      <c r="M27" s="9">
        <f t="shared" si="5"/>
        <v>2</v>
      </c>
      <c r="N27" s="9">
        <f t="shared" si="6"/>
        <v>4</v>
      </c>
      <c r="O27" s="9">
        <f t="shared" si="7"/>
        <v>6</v>
      </c>
      <c r="P27" s="9">
        <f t="shared" si="8"/>
        <v>1</v>
      </c>
      <c r="Q27" s="9">
        <f t="shared" si="9"/>
        <v>1</v>
      </c>
      <c r="R27" s="9">
        <f t="shared" si="10"/>
        <v>0</v>
      </c>
      <c r="S27" s="9">
        <f t="shared" si="11"/>
        <v>1</v>
      </c>
      <c r="T27" s="9">
        <f t="shared" si="12"/>
        <v>0</v>
      </c>
      <c r="U27" s="14" t="str">
        <f t="shared" si="1"/>
        <v>Thurmann, Di</v>
      </c>
      <c r="V27" s="14" t="str">
        <f t="shared" si="2"/>
        <v>MGC "AS" Witten</v>
      </c>
      <c r="W27" s="3"/>
    </row>
    <row r="28" spans="1:23" ht="12.75">
      <c r="A28" s="2" t="s">
        <v>205</v>
      </c>
      <c r="B28" s="2" t="s">
        <v>152</v>
      </c>
      <c r="C28" s="4" t="s">
        <v>159</v>
      </c>
      <c r="D28" s="5">
        <v>123</v>
      </c>
      <c r="E28" s="5">
        <v>112</v>
      </c>
      <c r="F28" s="6">
        <v>116</v>
      </c>
      <c r="G28" s="6">
        <v>113</v>
      </c>
      <c r="H28" s="6">
        <v>112</v>
      </c>
      <c r="I28" s="6">
        <v>105</v>
      </c>
      <c r="J28" s="33"/>
      <c r="K28" s="9">
        <f t="shared" si="3"/>
        <v>5</v>
      </c>
      <c r="L28" s="9">
        <f t="shared" si="4"/>
        <v>1</v>
      </c>
      <c r="M28" s="9">
        <f t="shared" si="5"/>
        <v>2</v>
      </c>
      <c r="N28" s="9">
        <f t="shared" si="6"/>
        <v>4</v>
      </c>
      <c r="O28" s="9">
        <f t="shared" si="7"/>
        <v>6</v>
      </c>
      <c r="P28" s="9">
        <f t="shared" si="8"/>
        <v>2</v>
      </c>
      <c r="Q28" s="9">
        <f t="shared" si="9"/>
        <v>1</v>
      </c>
      <c r="R28" s="9">
        <f t="shared" si="10"/>
        <v>0</v>
      </c>
      <c r="S28" s="9">
        <f t="shared" si="11"/>
        <v>1</v>
      </c>
      <c r="T28" s="9">
        <f t="shared" si="12"/>
        <v>0</v>
      </c>
      <c r="U28" s="14" t="str">
        <f aca="true" t="shared" si="13" ref="U28:U76">A28</f>
        <v>Thurmann, Do</v>
      </c>
      <c r="V28" s="14" t="str">
        <f aca="true" t="shared" si="14" ref="V28:V76">B28</f>
        <v>MGC "AS" Witten</v>
      </c>
      <c r="W28" s="3"/>
    </row>
    <row r="29" spans="1:23" ht="12.75">
      <c r="A29" s="2"/>
      <c r="B29" s="2"/>
      <c r="C29" s="4"/>
      <c r="D29" s="5"/>
      <c r="E29" s="5"/>
      <c r="F29" s="6"/>
      <c r="G29" s="6"/>
      <c r="H29" s="6"/>
      <c r="I29" s="6"/>
      <c r="J29" s="33"/>
      <c r="K29" s="9">
        <f t="shared" si="3"/>
        <v>5</v>
      </c>
      <c r="L29" s="9">
        <f t="shared" si="4"/>
        <v>1</v>
      </c>
      <c r="M29" s="9">
        <f t="shared" si="5"/>
        <v>2</v>
      </c>
      <c r="N29" s="9">
        <f t="shared" si="6"/>
        <v>4</v>
      </c>
      <c r="O29" s="9">
        <f t="shared" si="7"/>
        <v>6</v>
      </c>
      <c r="P29" s="9">
        <f t="shared" si="8"/>
        <v>2</v>
      </c>
      <c r="Q29" s="9">
        <f t="shared" si="9"/>
        <v>1</v>
      </c>
      <c r="R29" s="9">
        <f t="shared" si="10"/>
        <v>0</v>
      </c>
      <c r="S29" s="9">
        <f t="shared" si="11"/>
        <v>1</v>
      </c>
      <c r="T29" s="9">
        <f t="shared" si="12"/>
        <v>0</v>
      </c>
      <c r="U29" s="14">
        <f t="shared" si="13"/>
        <v>0</v>
      </c>
      <c r="V29" s="14">
        <f t="shared" si="14"/>
        <v>0</v>
      </c>
      <c r="W29" s="3"/>
    </row>
    <row r="30" spans="1:23" ht="12.75">
      <c r="A30" s="2"/>
      <c r="B30" s="2"/>
      <c r="C30" s="4"/>
      <c r="D30" s="5"/>
      <c r="E30" s="5"/>
      <c r="F30" s="6"/>
      <c r="G30" s="6"/>
      <c r="H30" s="6"/>
      <c r="I30" s="6"/>
      <c r="J30" s="33"/>
      <c r="K30" s="9">
        <f t="shared" si="3"/>
        <v>5</v>
      </c>
      <c r="L30" s="9">
        <f t="shared" si="4"/>
        <v>1</v>
      </c>
      <c r="M30" s="9">
        <f t="shared" si="5"/>
        <v>2</v>
      </c>
      <c r="N30" s="9">
        <f t="shared" si="6"/>
        <v>4</v>
      </c>
      <c r="O30" s="9">
        <f t="shared" si="7"/>
        <v>6</v>
      </c>
      <c r="P30" s="9">
        <f t="shared" si="8"/>
        <v>2</v>
      </c>
      <c r="Q30" s="9">
        <f t="shared" si="9"/>
        <v>1</v>
      </c>
      <c r="R30" s="9">
        <f t="shared" si="10"/>
        <v>0</v>
      </c>
      <c r="S30" s="9">
        <f t="shared" si="11"/>
        <v>1</v>
      </c>
      <c r="T30" s="9">
        <f t="shared" si="12"/>
        <v>0</v>
      </c>
      <c r="U30" s="14">
        <f t="shared" si="13"/>
        <v>0</v>
      </c>
      <c r="V30" s="14">
        <f t="shared" si="14"/>
        <v>0</v>
      </c>
      <c r="W30" s="3"/>
    </row>
    <row r="31" spans="1:23" ht="12.75">
      <c r="A31" s="2" t="s">
        <v>206</v>
      </c>
      <c r="B31" s="2" t="s">
        <v>229</v>
      </c>
      <c r="C31" s="4" t="s">
        <v>159</v>
      </c>
      <c r="D31" s="5">
        <v>99</v>
      </c>
      <c r="E31" s="5">
        <v>98</v>
      </c>
      <c r="F31" s="6">
        <v>100</v>
      </c>
      <c r="G31" s="6">
        <v>91</v>
      </c>
      <c r="H31" s="6">
        <v>100</v>
      </c>
      <c r="I31" s="6">
        <v>93</v>
      </c>
      <c r="J31" s="33"/>
      <c r="K31" s="9">
        <f t="shared" si="3"/>
        <v>5</v>
      </c>
      <c r="L31" s="9">
        <f t="shared" si="4"/>
        <v>1</v>
      </c>
      <c r="M31" s="9">
        <f t="shared" si="5"/>
        <v>2</v>
      </c>
      <c r="N31" s="9">
        <f t="shared" si="6"/>
        <v>4</v>
      </c>
      <c r="O31" s="9">
        <f t="shared" si="7"/>
        <v>6</v>
      </c>
      <c r="P31" s="9">
        <f t="shared" si="8"/>
        <v>3</v>
      </c>
      <c r="Q31" s="9">
        <f t="shared" si="9"/>
        <v>1</v>
      </c>
      <c r="R31" s="9">
        <f t="shared" si="10"/>
        <v>0</v>
      </c>
      <c r="S31" s="9">
        <f t="shared" si="11"/>
        <v>1</v>
      </c>
      <c r="T31" s="9">
        <f t="shared" si="12"/>
        <v>0</v>
      </c>
      <c r="U31" s="14" t="str">
        <f aca="true" t="shared" si="15" ref="U31:U50">A31</f>
        <v>Barschdorf, A</v>
      </c>
      <c r="V31" s="14" t="str">
        <f aca="true" t="shared" si="16" ref="V31:V50">B31</f>
        <v>1.MGC Gelsenkirchen</v>
      </c>
      <c r="W31" s="3"/>
    </row>
    <row r="32" spans="1:23" ht="12.75">
      <c r="A32" s="2" t="s">
        <v>207</v>
      </c>
      <c r="B32" s="2" t="s">
        <v>229</v>
      </c>
      <c r="C32" s="4" t="s">
        <v>158</v>
      </c>
      <c r="D32" s="5">
        <v>98</v>
      </c>
      <c r="E32" s="5">
        <v>92</v>
      </c>
      <c r="F32" s="6">
        <v>94</v>
      </c>
      <c r="G32" s="6">
        <v>98</v>
      </c>
      <c r="H32" s="6">
        <v>93</v>
      </c>
      <c r="I32" s="6">
        <v>96</v>
      </c>
      <c r="J32" s="33"/>
      <c r="K32" s="9">
        <f t="shared" si="3"/>
        <v>5</v>
      </c>
      <c r="L32" s="9">
        <f t="shared" si="4"/>
        <v>1</v>
      </c>
      <c r="M32" s="9">
        <f t="shared" si="5"/>
        <v>2</v>
      </c>
      <c r="N32" s="9">
        <f t="shared" si="6"/>
        <v>4</v>
      </c>
      <c r="O32" s="9">
        <f t="shared" si="7"/>
        <v>7</v>
      </c>
      <c r="P32" s="9">
        <f t="shared" si="8"/>
        <v>3</v>
      </c>
      <c r="Q32" s="9">
        <f t="shared" si="9"/>
        <v>1</v>
      </c>
      <c r="R32" s="9">
        <f t="shared" si="10"/>
        <v>0</v>
      </c>
      <c r="S32" s="9">
        <f t="shared" si="11"/>
        <v>1</v>
      </c>
      <c r="T32" s="9">
        <f t="shared" si="12"/>
        <v>0</v>
      </c>
      <c r="U32" s="14" t="str">
        <f t="shared" si="15"/>
        <v>Barschdorf, F</v>
      </c>
      <c r="V32" s="14" t="str">
        <f t="shared" si="16"/>
        <v>1.MGC Gelsenkirchen</v>
      </c>
      <c r="W32" s="3"/>
    </row>
    <row r="33" spans="1:23" ht="12.75">
      <c r="A33" s="2" t="s">
        <v>211</v>
      </c>
      <c r="B33" s="2" t="s">
        <v>229</v>
      </c>
      <c r="C33" s="4" t="s">
        <v>157</v>
      </c>
      <c r="D33" s="5">
        <v>115</v>
      </c>
      <c r="E33" s="5">
        <v>93</v>
      </c>
      <c r="F33" s="6">
        <v>105</v>
      </c>
      <c r="G33" s="6">
        <v>109</v>
      </c>
      <c r="H33" s="6">
        <v>105</v>
      </c>
      <c r="I33" s="6">
        <v>101</v>
      </c>
      <c r="J33" s="33"/>
      <c r="K33" s="9">
        <f t="shared" si="3"/>
        <v>6</v>
      </c>
      <c r="L33" s="9">
        <f t="shared" si="4"/>
        <v>1</v>
      </c>
      <c r="M33" s="9">
        <f t="shared" si="5"/>
        <v>2</v>
      </c>
      <c r="N33" s="9">
        <f t="shared" si="6"/>
        <v>4</v>
      </c>
      <c r="O33" s="9">
        <f t="shared" si="7"/>
        <v>7</v>
      </c>
      <c r="P33" s="9">
        <f t="shared" si="8"/>
        <v>3</v>
      </c>
      <c r="Q33" s="9">
        <f t="shared" si="9"/>
        <v>1</v>
      </c>
      <c r="R33" s="9">
        <f t="shared" si="10"/>
        <v>0</v>
      </c>
      <c r="S33" s="9">
        <f t="shared" si="11"/>
        <v>1</v>
      </c>
      <c r="T33" s="9">
        <f t="shared" si="12"/>
        <v>0</v>
      </c>
      <c r="U33" s="14" t="str">
        <f t="shared" si="15"/>
        <v>Czorny, S</v>
      </c>
      <c r="V33" s="14" t="str">
        <f t="shared" si="16"/>
        <v>1.MGC Gelsenkirchen</v>
      </c>
      <c r="W33" s="3"/>
    </row>
    <row r="34" spans="1:23" ht="12.75">
      <c r="A34" s="2" t="s">
        <v>212</v>
      </c>
      <c r="B34" s="2" t="s">
        <v>229</v>
      </c>
      <c r="C34" s="4" t="s">
        <v>161</v>
      </c>
      <c r="D34" s="5"/>
      <c r="E34" s="5"/>
      <c r="F34" s="6"/>
      <c r="G34" s="6"/>
      <c r="H34" s="6"/>
      <c r="I34" s="6"/>
      <c r="J34" s="33"/>
      <c r="K34" s="9">
        <f t="shared" si="3"/>
        <v>6</v>
      </c>
      <c r="L34" s="9">
        <f t="shared" si="4"/>
        <v>1</v>
      </c>
      <c r="M34" s="9">
        <f t="shared" si="5"/>
        <v>2</v>
      </c>
      <c r="N34" s="9">
        <f t="shared" si="6"/>
        <v>4</v>
      </c>
      <c r="O34" s="9">
        <f t="shared" si="7"/>
        <v>7</v>
      </c>
      <c r="P34" s="9">
        <f t="shared" si="8"/>
        <v>3</v>
      </c>
      <c r="Q34" s="9">
        <f t="shared" si="9"/>
        <v>1</v>
      </c>
      <c r="R34" s="9">
        <f t="shared" si="10"/>
        <v>0</v>
      </c>
      <c r="S34" s="9">
        <f t="shared" si="11"/>
        <v>1</v>
      </c>
      <c r="T34" s="9">
        <f t="shared" si="12"/>
        <v>0</v>
      </c>
      <c r="U34" s="14" t="str">
        <f t="shared" si="15"/>
        <v>Hirtz, U</v>
      </c>
      <c r="V34" s="14" t="str">
        <f t="shared" si="16"/>
        <v>1.MGC Gelsenkirchen</v>
      </c>
      <c r="W34" s="3"/>
    </row>
    <row r="35" spans="1:23" ht="12.75">
      <c r="A35" s="2" t="s">
        <v>213</v>
      </c>
      <c r="B35" s="2" t="s">
        <v>229</v>
      </c>
      <c r="C35" s="4" t="s">
        <v>157</v>
      </c>
      <c r="D35" s="5">
        <v>104</v>
      </c>
      <c r="E35" s="5">
        <v>91</v>
      </c>
      <c r="F35" s="6">
        <v>97</v>
      </c>
      <c r="G35" s="6">
        <v>93</v>
      </c>
      <c r="H35" s="6">
        <v>98</v>
      </c>
      <c r="I35" s="6">
        <v>92</v>
      </c>
      <c r="J35" s="33"/>
      <c r="K35" s="9">
        <f t="shared" si="3"/>
        <v>7</v>
      </c>
      <c r="L35" s="9">
        <f t="shared" si="4"/>
        <v>1</v>
      </c>
      <c r="M35" s="9">
        <f t="shared" si="5"/>
        <v>2</v>
      </c>
      <c r="N35" s="9">
        <f t="shared" si="6"/>
        <v>4</v>
      </c>
      <c r="O35" s="9">
        <f t="shared" si="7"/>
        <v>7</v>
      </c>
      <c r="P35" s="9">
        <f t="shared" si="8"/>
        <v>3</v>
      </c>
      <c r="Q35" s="9">
        <f t="shared" si="9"/>
        <v>1</v>
      </c>
      <c r="R35" s="9">
        <f t="shared" si="10"/>
        <v>0</v>
      </c>
      <c r="S35" s="9">
        <f t="shared" si="11"/>
        <v>1</v>
      </c>
      <c r="T35" s="9">
        <f t="shared" si="12"/>
        <v>0</v>
      </c>
      <c r="U35" s="14" t="str">
        <f t="shared" si="15"/>
        <v>Kaufmann, M</v>
      </c>
      <c r="V35" s="14" t="str">
        <f t="shared" si="16"/>
        <v>1.MGC Gelsenkirchen</v>
      </c>
      <c r="W35" s="3"/>
    </row>
    <row r="36" spans="1:23" ht="12.75">
      <c r="A36" s="2" t="s">
        <v>214</v>
      </c>
      <c r="B36" s="2" t="s">
        <v>229</v>
      </c>
      <c r="C36" s="4" t="s">
        <v>159</v>
      </c>
      <c r="D36" s="5">
        <v>119</v>
      </c>
      <c r="E36" s="5">
        <v>114</v>
      </c>
      <c r="F36" s="6">
        <v>103</v>
      </c>
      <c r="G36" s="6">
        <v>112</v>
      </c>
      <c r="H36" s="6">
        <v>114</v>
      </c>
      <c r="I36" s="6">
        <v>106</v>
      </c>
      <c r="J36" s="33"/>
      <c r="K36" s="9">
        <f t="shared" si="3"/>
        <v>7</v>
      </c>
      <c r="L36" s="9">
        <f t="shared" si="4"/>
        <v>1</v>
      </c>
      <c r="M36" s="9">
        <f t="shared" si="5"/>
        <v>2</v>
      </c>
      <c r="N36" s="9">
        <f t="shared" si="6"/>
        <v>4</v>
      </c>
      <c r="O36" s="9">
        <f t="shared" si="7"/>
        <v>7</v>
      </c>
      <c r="P36" s="9">
        <f t="shared" si="8"/>
        <v>4</v>
      </c>
      <c r="Q36" s="9">
        <f t="shared" si="9"/>
        <v>1</v>
      </c>
      <c r="R36" s="9">
        <f t="shared" si="10"/>
        <v>0</v>
      </c>
      <c r="S36" s="9">
        <f t="shared" si="11"/>
        <v>1</v>
      </c>
      <c r="T36" s="9">
        <f t="shared" si="12"/>
        <v>0</v>
      </c>
      <c r="U36" s="14" t="str">
        <f t="shared" si="15"/>
        <v>Kaup, M</v>
      </c>
      <c r="V36" s="14" t="str">
        <f t="shared" si="16"/>
        <v>1.MGC Gelsenkirchen</v>
      </c>
      <c r="W36" s="3"/>
    </row>
    <row r="37" spans="1:23" ht="12.75">
      <c r="A37" s="2" t="s">
        <v>215</v>
      </c>
      <c r="B37" s="2" t="s">
        <v>229</v>
      </c>
      <c r="C37" s="4" t="s">
        <v>158</v>
      </c>
      <c r="D37" s="5">
        <v>102</v>
      </c>
      <c r="E37" s="5">
        <v>98</v>
      </c>
      <c r="F37" s="6">
        <v>94</v>
      </c>
      <c r="G37" s="6">
        <v>97</v>
      </c>
      <c r="H37" s="6"/>
      <c r="I37" s="6">
        <v>88</v>
      </c>
      <c r="J37" s="33"/>
      <c r="K37" s="9">
        <f t="shared" si="3"/>
        <v>7</v>
      </c>
      <c r="L37" s="9">
        <f t="shared" si="4"/>
        <v>1</v>
      </c>
      <c r="M37" s="9">
        <f t="shared" si="5"/>
        <v>2</v>
      </c>
      <c r="N37" s="9">
        <f t="shared" si="6"/>
        <v>4</v>
      </c>
      <c r="O37" s="9">
        <f t="shared" si="7"/>
        <v>8</v>
      </c>
      <c r="P37" s="9">
        <f t="shared" si="8"/>
        <v>4</v>
      </c>
      <c r="Q37" s="9">
        <f t="shared" si="9"/>
        <v>1</v>
      </c>
      <c r="R37" s="9">
        <f t="shared" si="10"/>
        <v>0</v>
      </c>
      <c r="S37" s="9">
        <f t="shared" si="11"/>
        <v>1</v>
      </c>
      <c r="T37" s="9">
        <f t="shared" si="12"/>
        <v>0</v>
      </c>
      <c r="U37" s="14" t="str">
        <f t="shared" si="15"/>
        <v>König, G</v>
      </c>
      <c r="V37" s="14" t="str">
        <f t="shared" si="16"/>
        <v>1.MGC Gelsenkirchen</v>
      </c>
      <c r="W37" s="3"/>
    </row>
    <row r="38" spans="1:23" ht="12.75">
      <c r="A38" s="2" t="s">
        <v>216</v>
      </c>
      <c r="B38" s="2" t="s">
        <v>229</v>
      </c>
      <c r="C38" s="4" t="s">
        <v>159</v>
      </c>
      <c r="D38" s="5">
        <v>125</v>
      </c>
      <c r="E38" s="5">
        <v>121</v>
      </c>
      <c r="F38" s="6"/>
      <c r="G38" s="6">
        <v>130</v>
      </c>
      <c r="H38" s="6"/>
      <c r="I38" s="6">
        <v>107</v>
      </c>
      <c r="J38" s="33"/>
      <c r="K38" s="9">
        <f t="shared" si="3"/>
        <v>7</v>
      </c>
      <c r="L38" s="9">
        <f t="shared" si="4"/>
        <v>1</v>
      </c>
      <c r="M38" s="9">
        <f t="shared" si="5"/>
        <v>2</v>
      </c>
      <c r="N38" s="9">
        <f t="shared" si="6"/>
        <v>4</v>
      </c>
      <c r="O38" s="9">
        <f t="shared" si="7"/>
        <v>8</v>
      </c>
      <c r="P38" s="9">
        <f t="shared" si="8"/>
        <v>5</v>
      </c>
      <c r="Q38" s="9">
        <f t="shared" si="9"/>
        <v>1</v>
      </c>
      <c r="R38" s="9">
        <f t="shared" si="10"/>
        <v>0</v>
      </c>
      <c r="S38" s="9">
        <f t="shared" si="11"/>
        <v>1</v>
      </c>
      <c r="T38" s="9">
        <f t="shared" si="12"/>
        <v>0</v>
      </c>
      <c r="U38" s="14" t="str">
        <f t="shared" si="15"/>
        <v>König, M</v>
      </c>
      <c r="V38" s="14" t="str">
        <f t="shared" si="16"/>
        <v>1.MGC Gelsenkirchen</v>
      </c>
      <c r="W38" s="3"/>
    </row>
    <row r="39" spans="1:23" ht="12.75">
      <c r="A39" s="2" t="s">
        <v>217</v>
      </c>
      <c r="B39" s="2" t="s">
        <v>229</v>
      </c>
      <c r="C39" s="4" t="s">
        <v>157</v>
      </c>
      <c r="D39" s="5">
        <v>98</v>
      </c>
      <c r="E39" s="5">
        <v>98</v>
      </c>
      <c r="F39" s="6">
        <v>97</v>
      </c>
      <c r="G39" s="6">
        <v>97</v>
      </c>
      <c r="H39" s="6">
        <v>106</v>
      </c>
      <c r="I39" s="6">
        <v>95</v>
      </c>
      <c r="J39" s="33"/>
      <c r="K39" s="9">
        <f t="shared" si="3"/>
        <v>8</v>
      </c>
      <c r="L39" s="9">
        <f t="shared" si="4"/>
        <v>1</v>
      </c>
      <c r="M39" s="9">
        <f t="shared" si="5"/>
        <v>2</v>
      </c>
      <c r="N39" s="9">
        <f t="shared" si="6"/>
        <v>4</v>
      </c>
      <c r="O39" s="9">
        <f t="shared" si="7"/>
        <v>8</v>
      </c>
      <c r="P39" s="9">
        <f t="shared" si="8"/>
        <v>5</v>
      </c>
      <c r="Q39" s="9">
        <f t="shared" si="9"/>
        <v>1</v>
      </c>
      <c r="R39" s="9">
        <f t="shared" si="10"/>
        <v>0</v>
      </c>
      <c r="S39" s="9">
        <f t="shared" si="11"/>
        <v>1</v>
      </c>
      <c r="T39" s="9">
        <f t="shared" si="12"/>
        <v>0</v>
      </c>
      <c r="U39" s="14" t="str">
        <f t="shared" si="15"/>
        <v>Mette, M</v>
      </c>
      <c r="V39" s="14" t="str">
        <f t="shared" si="16"/>
        <v>1.MGC Gelsenkirchen</v>
      </c>
      <c r="W39" s="3"/>
    </row>
    <row r="40" spans="1:23" ht="12.75">
      <c r="A40" s="2" t="s">
        <v>218</v>
      </c>
      <c r="B40" s="2" t="s">
        <v>229</v>
      </c>
      <c r="C40" s="4" t="s">
        <v>159</v>
      </c>
      <c r="D40" s="5">
        <v>99</v>
      </c>
      <c r="E40" s="5">
        <v>92</v>
      </c>
      <c r="F40" s="6">
        <v>88</v>
      </c>
      <c r="G40" s="6">
        <v>97</v>
      </c>
      <c r="H40" s="6">
        <v>95</v>
      </c>
      <c r="I40" s="6">
        <v>91</v>
      </c>
      <c r="J40" s="33"/>
      <c r="K40" s="9">
        <f t="shared" si="3"/>
        <v>8</v>
      </c>
      <c r="L40" s="9">
        <f t="shared" si="4"/>
        <v>1</v>
      </c>
      <c r="M40" s="9">
        <f t="shared" si="5"/>
        <v>2</v>
      </c>
      <c r="N40" s="9">
        <f t="shared" si="6"/>
        <v>4</v>
      </c>
      <c r="O40" s="9">
        <f t="shared" si="7"/>
        <v>8</v>
      </c>
      <c r="P40" s="9">
        <f t="shared" si="8"/>
        <v>6</v>
      </c>
      <c r="Q40" s="9">
        <f t="shared" si="9"/>
        <v>1</v>
      </c>
      <c r="R40" s="9">
        <f t="shared" si="10"/>
        <v>0</v>
      </c>
      <c r="S40" s="9">
        <f t="shared" si="11"/>
        <v>1</v>
      </c>
      <c r="T40" s="9">
        <f t="shared" si="12"/>
        <v>0</v>
      </c>
      <c r="U40" s="14" t="str">
        <f t="shared" si="15"/>
        <v>Reimer, I</v>
      </c>
      <c r="V40" s="14" t="str">
        <f t="shared" si="16"/>
        <v>1.MGC Gelsenkirchen</v>
      </c>
      <c r="W40" s="3"/>
    </row>
    <row r="41" spans="1:23" ht="12.75">
      <c r="A41" s="2" t="s">
        <v>219</v>
      </c>
      <c r="B41" s="2" t="s">
        <v>229</v>
      </c>
      <c r="C41" s="4" t="s">
        <v>158</v>
      </c>
      <c r="D41" s="5">
        <v>101</v>
      </c>
      <c r="E41" s="5">
        <v>89</v>
      </c>
      <c r="F41" s="6">
        <v>85</v>
      </c>
      <c r="G41" s="6">
        <v>85</v>
      </c>
      <c r="H41" s="6">
        <v>99</v>
      </c>
      <c r="I41" s="6">
        <v>93</v>
      </c>
      <c r="J41" s="33"/>
      <c r="K41" s="9">
        <f t="shared" si="3"/>
        <v>8</v>
      </c>
      <c r="L41" s="9">
        <f t="shared" si="4"/>
        <v>1</v>
      </c>
      <c r="M41" s="9">
        <f t="shared" si="5"/>
        <v>2</v>
      </c>
      <c r="N41" s="9">
        <f t="shared" si="6"/>
        <v>4</v>
      </c>
      <c r="O41" s="9">
        <f t="shared" si="7"/>
        <v>9</v>
      </c>
      <c r="P41" s="9">
        <f t="shared" si="8"/>
        <v>6</v>
      </c>
      <c r="Q41" s="9">
        <f t="shared" si="9"/>
        <v>1</v>
      </c>
      <c r="R41" s="9">
        <f t="shared" si="10"/>
        <v>0</v>
      </c>
      <c r="S41" s="9">
        <f t="shared" si="11"/>
        <v>1</v>
      </c>
      <c r="T41" s="9">
        <f t="shared" si="12"/>
        <v>0</v>
      </c>
      <c r="U41" s="14" t="str">
        <f t="shared" si="15"/>
        <v>Reimer, W</v>
      </c>
      <c r="V41" s="14" t="str">
        <f t="shared" si="16"/>
        <v>1.MGC Gelsenkirchen</v>
      </c>
      <c r="W41" s="3"/>
    </row>
    <row r="42" spans="1:23" ht="12.75">
      <c r="A42" s="2" t="s">
        <v>220</v>
      </c>
      <c r="B42" s="2" t="s">
        <v>229</v>
      </c>
      <c r="C42" s="4" t="s">
        <v>157</v>
      </c>
      <c r="D42" s="5">
        <v>119</v>
      </c>
      <c r="E42" s="5">
        <v>110</v>
      </c>
      <c r="F42" s="6"/>
      <c r="G42" s="6"/>
      <c r="H42" s="6"/>
      <c r="I42" s="6"/>
      <c r="J42" s="33"/>
      <c r="K42" s="9">
        <f t="shared" si="3"/>
        <v>9</v>
      </c>
      <c r="L42" s="9">
        <f t="shared" si="4"/>
        <v>1</v>
      </c>
      <c r="M42" s="9">
        <f t="shared" si="5"/>
        <v>2</v>
      </c>
      <c r="N42" s="9">
        <f t="shared" si="6"/>
        <v>4</v>
      </c>
      <c r="O42" s="9">
        <f t="shared" si="7"/>
        <v>9</v>
      </c>
      <c r="P42" s="9">
        <f t="shared" si="8"/>
        <v>6</v>
      </c>
      <c r="Q42" s="9">
        <f t="shared" si="9"/>
        <v>1</v>
      </c>
      <c r="R42" s="9">
        <f t="shared" si="10"/>
        <v>0</v>
      </c>
      <c r="S42" s="9">
        <f t="shared" si="11"/>
        <v>1</v>
      </c>
      <c r="T42" s="9">
        <f t="shared" si="12"/>
        <v>0</v>
      </c>
      <c r="U42" s="14" t="str">
        <f t="shared" si="15"/>
        <v>Seele, J</v>
      </c>
      <c r="V42" s="14" t="str">
        <f t="shared" si="16"/>
        <v>1.MGC Gelsenkirchen</v>
      </c>
      <c r="W42" s="3"/>
    </row>
    <row r="43" spans="1:23" ht="12.75">
      <c r="A43" s="2" t="s">
        <v>221</v>
      </c>
      <c r="B43" s="2" t="s">
        <v>229</v>
      </c>
      <c r="C43" s="4" t="s">
        <v>158</v>
      </c>
      <c r="D43" s="5"/>
      <c r="E43" s="5">
        <v>100</v>
      </c>
      <c r="F43" s="6">
        <v>91</v>
      </c>
      <c r="G43" s="6">
        <v>110</v>
      </c>
      <c r="H43" s="6"/>
      <c r="I43" s="6"/>
      <c r="J43" s="33"/>
      <c r="K43" s="9">
        <f t="shared" si="3"/>
        <v>9</v>
      </c>
      <c r="L43" s="9">
        <f t="shared" si="4"/>
        <v>1</v>
      </c>
      <c r="M43" s="9">
        <f t="shared" si="5"/>
        <v>2</v>
      </c>
      <c r="N43" s="9">
        <f t="shared" si="6"/>
        <v>4</v>
      </c>
      <c r="O43" s="9">
        <f t="shared" si="7"/>
        <v>10</v>
      </c>
      <c r="P43" s="9">
        <f t="shared" si="8"/>
        <v>6</v>
      </c>
      <c r="Q43" s="9">
        <f t="shared" si="9"/>
        <v>1</v>
      </c>
      <c r="R43" s="9">
        <f t="shared" si="10"/>
        <v>0</v>
      </c>
      <c r="S43" s="9">
        <f t="shared" si="11"/>
        <v>1</v>
      </c>
      <c r="T43" s="9">
        <f t="shared" si="12"/>
        <v>0</v>
      </c>
      <c r="U43" s="14" t="str">
        <f t="shared" si="15"/>
        <v>Templin, G</v>
      </c>
      <c r="V43" s="14" t="str">
        <f t="shared" si="16"/>
        <v>1.MGC Gelsenkirchen</v>
      </c>
      <c r="W43" s="3"/>
    </row>
    <row r="44" spans="1:23" ht="12.75">
      <c r="A44" s="2" t="s">
        <v>222</v>
      </c>
      <c r="B44" s="2" t="s">
        <v>229</v>
      </c>
      <c r="C44" s="4" t="s">
        <v>159</v>
      </c>
      <c r="D44" s="5">
        <v>98</v>
      </c>
      <c r="E44" s="5">
        <v>93</v>
      </c>
      <c r="F44" s="6">
        <v>101</v>
      </c>
      <c r="G44" s="6"/>
      <c r="H44" s="6"/>
      <c r="I44" s="6"/>
      <c r="J44" s="33"/>
      <c r="K44" s="9">
        <f t="shared" si="3"/>
        <v>9</v>
      </c>
      <c r="L44" s="9">
        <f t="shared" si="4"/>
        <v>1</v>
      </c>
      <c r="M44" s="9">
        <f t="shared" si="5"/>
        <v>2</v>
      </c>
      <c r="N44" s="9">
        <f t="shared" si="6"/>
        <v>4</v>
      </c>
      <c r="O44" s="9">
        <f t="shared" si="7"/>
        <v>10</v>
      </c>
      <c r="P44" s="9">
        <f t="shared" si="8"/>
        <v>7</v>
      </c>
      <c r="Q44" s="9">
        <f t="shared" si="9"/>
        <v>1</v>
      </c>
      <c r="R44" s="9">
        <f t="shared" si="10"/>
        <v>0</v>
      </c>
      <c r="S44" s="9">
        <f t="shared" si="11"/>
        <v>1</v>
      </c>
      <c r="T44" s="9">
        <f t="shared" si="12"/>
        <v>0</v>
      </c>
      <c r="U44" s="14" t="str">
        <f t="shared" si="15"/>
        <v>Templin, I</v>
      </c>
      <c r="V44" s="14" t="str">
        <f t="shared" si="16"/>
        <v>1.MGC Gelsenkirchen</v>
      </c>
      <c r="W44" s="3"/>
    </row>
    <row r="45" spans="1:23" ht="12.75">
      <c r="A45" s="2" t="s">
        <v>223</v>
      </c>
      <c r="B45" s="2" t="s">
        <v>229</v>
      </c>
      <c r="C45" s="4" t="s">
        <v>158</v>
      </c>
      <c r="D45" s="5">
        <v>107</v>
      </c>
      <c r="E45" s="5">
        <v>97</v>
      </c>
      <c r="F45" s="6">
        <v>89</v>
      </c>
      <c r="G45" s="6">
        <v>93</v>
      </c>
      <c r="H45" s="6">
        <v>95</v>
      </c>
      <c r="I45" s="6">
        <v>92</v>
      </c>
      <c r="J45" s="33"/>
      <c r="K45" s="9">
        <f t="shared" si="3"/>
        <v>9</v>
      </c>
      <c r="L45" s="9">
        <f t="shared" si="4"/>
        <v>1</v>
      </c>
      <c r="M45" s="9">
        <f t="shared" si="5"/>
        <v>2</v>
      </c>
      <c r="N45" s="9">
        <f t="shared" si="6"/>
        <v>4</v>
      </c>
      <c r="O45" s="9">
        <f t="shared" si="7"/>
        <v>11</v>
      </c>
      <c r="P45" s="9">
        <f t="shared" si="8"/>
        <v>7</v>
      </c>
      <c r="Q45" s="9">
        <f t="shared" si="9"/>
        <v>1</v>
      </c>
      <c r="R45" s="9">
        <f t="shared" si="10"/>
        <v>0</v>
      </c>
      <c r="S45" s="9">
        <f t="shared" si="11"/>
        <v>1</v>
      </c>
      <c r="T45" s="9">
        <f t="shared" si="12"/>
        <v>0</v>
      </c>
      <c r="U45" s="14" t="str">
        <f t="shared" si="15"/>
        <v>Weinberger, H</v>
      </c>
      <c r="V45" s="14" t="str">
        <f t="shared" si="16"/>
        <v>1.MGC Gelsenkirchen</v>
      </c>
      <c r="W45" s="3"/>
    </row>
    <row r="46" spans="1:23" ht="12.75">
      <c r="A46" s="2" t="s">
        <v>225</v>
      </c>
      <c r="B46" s="2" t="s">
        <v>229</v>
      </c>
      <c r="C46" s="4" t="s">
        <v>158</v>
      </c>
      <c r="D46" s="5">
        <v>107</v>
      </c>
      <c r="E46" s="5"/>
      <c r="F46" s="6"/>
      <c r="G46" s="6"/>
      <c r="H46" s="6">
        <v>96</v>
      </c>
      <c r="I46" s="6">
        <v>93</v>
      </c>
      <c r="J46" s="33"/>
      <c r="K46" s="9">
        <f t="shared" si="3"/>
        <v>9</v>
      </c>
      <c r="L46" s="9">
        <f t="shared" si="4"/>
        <v>1</v>
      </c>
      <c r="M46" s="9">
        <f t="shared" si="5"/>
        <v>2</v>
      </c>
      <c r="N46" s="9">
        <f t="shared" si="6"/>
        <v>4</v>
      </c>
      <c r="O46" s="9">
        <f t="shared" si="7"/>
        <v>12</v>
      </c>
      <c r="P46" s="9">
        <f t="shared" si="8"/>
        <v>7</v>
      </c>
      <c r="Q46" s="9">
        <f t="shared" si="9"/>
        <v>1</v>
      </c>
      <c r="R46" s="9">
        <f t="shared" si="10"/>
        <v>0</v>
      </c>
      <c r="S46" s="9">
        <f t="shared" si="11"/>
        <v>1</v>
      </c>
      <c r="T46" s="9">
        <f t="shared" si="12"/>
        <v>0</v>
      </c>
      <c r="U46" s="14" t="str">
        <f t="shared" si="15"/>
        <v>Wickermann, Hei</v>
      </c>
      <c r="V46" s="14" t="str">
        <f t="shared" si="16"/>
        <v>1.MGC Gelsenkirchen</v>
      </c>
      <c r="W46" s="3"/>
    </row>
    <row r="47" spans="1:23" ht="12.75">
      <c r="A47" s="2" t="s">
        <v>224</v>
      </c>
      <c r="B47" s="2" t="s">
        <v>229</v>
      </c>
      <c r="C47" s="4" t="s">
        <v>303</v>
      </c>
      <c r="D47" s="5"/>
      <c r="E47" s="5"/>
      <c r="F47" s="6"/>
      <c r="G47" s="6"/>
      <c r="H47" s="6"/>
      <c r="I47" s="6"/>
      <c r="J47" s="33"/>
      <c r="K47" s="9">
        <f t="shared" si="3"/>
        <v>9</v>
      </c>
      <c r="L47" s="9">
        <f t="shared" si="4"/>
        <v>1</v>
      </c>
      <c r="M47" s="9">
        <f t="shared" si="5"/>
        <v>2</v>
      </c>
      <c r="N47" s="9">
        <f t="shared" si="6"/>
        <v>4</v>
      </c>
      <c r="O47" s="9">
        <f t="shared" si="7"/>
        <v>12</v>
      </c>
      <c r="P47" s="9">
        <f t="shared" si="8"/>
        <v>7</v>
      </c>
      <c r="Q47" s="9">
        <f t="shared" si="9"/>
        <v>1</v>
      </c>
      <c r="R47" s="9">
        <f t="shared" si="10"/>
        <v>0</v>
      </c>
      <c r="S47" s="9">
        <f t="shared" si="11"/>
        <v>1</v>
      </c>
      <c r="T47" s="9">
        <f t="shared" si="12"/>
        <v>0</v>
      </c>
      <c r="U47" s="14" t="str">
        <f t="shared" si="15"/>
        <v>Wickermann, Hel</v>
      </c>
      <c r="V47" s="14" t="str">
        <f t="shared" si="16"/>
        <v>1.MGC Gelsenkirchen</v>
      </c>
      <c r="W47" s="3"/>
    </row>
    <row r="48" spans="1:23" ht="12.75">
      <c r="A48" s="2" t="s">
        <v>226</v>
      </c>
      <c r="B48" s="2" t="s">
        <v>229</v>
      </c>
      <c r="C48" s="4" t="s">
        <v>155</v>
      </c>
      <c r="D48" s="5">
        <v>107</v>
      </c>
      <c r="E48" s="5">
        <v>99</v>
      </c>
      <c r="F48" s="6">
        <v>102</v>
      </c>
      <c r="G48" s="6"/>
      <c r="H48" s="6">
        <v>108</v>
      </c>
      <c r="I48" s="6">
        <v>100</v>
      </c>
      <c r="J48" s="33"/>
      <c r="K48" s="9">
        <f t="shared" si="3"/>
        <v>9</v>
      </c>
      <c r="L48" s="9">
        <f t="shared" si="4"/>
        <v>1</v>
      </c>
      <c r="M48" s="9">
        <f t="shared" si="5"/>
        <v>2</v>
      </c>
      <c r="N48" s="9">
        <f t="shared" si="6"/>
        <v>5</v>
      </c>
      <c r="O48" s="9">
        <f t="shared" si="7"/>
        <v>12</v>
      </c>
      <c r="P48" s="9">
        <f t="shared" si="8"/>
        <v>7</v>
      </c>
      <c r="Q48" s="9">
        <f t="shared" si="9"/>
        <v>1</v>
      </c>
      <c r="R48" s="9">
        <f t="shared" si="10"/>
        <v>0</v>
      </c>
      <c r="S48" s="9">
        <f t="shared" si="11"/>
        <v>1</v>
      </c>
      <c r="T48" s="9">
        <f t="shared" si="12"/>
        <v>0</v>
      </c>
      <c r="U48" s="14" t="str">
        <f t="shared" si="15"/>
        <v>Weinberger, S</v>
      </c>
      <c r="V48" s="14" t="str">
        <f t="shared" si="16"/>
        <v>1.MGC Gelsenkirchen</v>
      </c>
      <c r="W48" s="3"/>
    </row>
    <row r="49" spans="1:23" ht="12.75">
      <c r="A49" s="2" t="s">
        <v>227</v>
      </c>
      <c r="B49" s="2" t="s">
        <v>229</v>
      </c>
      <c r="C49" s="4" t="s">
        <v>156</v>
      </c>
      <c r="D49" s="5">
        <v>110</v>
      </c>
      <c r="E49" s="5">
        <v>110</v>
      </c>
      <c r="F49" s="6">
        <v>103</v>
      </c>
      <c r="G49" s="6">
        <v>100</v>
      </c>
      <c r="H49" s="6">
        <v>104</v>
      </c>
      <c r="I49" s="6">
        <v>101</v>
      </c>
      <c r="J49" s="33"/>
      <c r="K49" s="9">
        <f t="shared" si="3"/>
        <v>9</v>
      </c>
      <c r="L49" s="9">
        <f t="shared" si="4"/>
        <v>1</v>
      </c>
      <c r="M49" s="9">
        <f t="shared" si="5"/>
        <v>3</v>
      </c>
      <c r="N49" s="9">
        <f t="shared" si="6"/>
        <v>5</v>
      </c>
      <c r="O49" s="9">
        <f t="shared" si="7"/>
        <v>12</v>
      </c>
      <c r="P49" s="9">
        <f t="shared" si="8"/>
        <v>7</v>
      </c>
      <c r="Q49" s="9">
        <f t="shared" si="9"/>
        <v>1</v>
      </c>
      <c r="R49" s="9">
        <f t="shared" si="10"/>
        <v>0</v>
      </c>
      <c r="S49" s="9">
        <f t="shared" si="11"/>
        <v>1</v>
      </c>
      <c r="T49" s="9">
        <f t="shared" si="12"/>
        <v>0</v>
      </c>
      <c r="U49" s="14" t="str">
        <f t="shared" si="15"/>
        <v>Dudziak, H</v>
      </c>
      <c r="V49" s="14" t="str">
        <f t="shared" si="16"/>
        <v>1.MGC Gelsenkirchen</v>
      </c>
      <c r="W49" s="3"/>
    </row>
    <row r="50" spans="1:23" ht="12.75">
      <c r="A50" s="2" t="s">
        <v>228</v>
      </c>
      <c r="B50" s="2" t="s">
        <v>229</v>
      </c>
      <c r="C50" s="4" t="s">
        <v>157</v>
      </c>
      <c r="D50" s="5">
        <v>102</v>
      </c>
      <c r="E50" s="5">
        <v>97</v>
      </c>
      <c r="F50" s="6">
        <v>95</v>
      </c>
      <c r="G50" s="6"/>
      <c r="H50" s="6">
        <v>94</v>
      </c>
      <c r="I50" s="6">
        <v>94</v>
      </c>
      <c r="J50" s="33"/>
      <c r="K50" s="9">
        <f t="shared" si="3"/>
        <v>10</v>
      </c>
      <c r="L50" s="9">
        <f t="shared" si="4"/>
        <v>1</v>
      </c>
      <c r="M50" s="9">
        <f t="shared" si="5"/>
        <v>3</v>
      </c>
      <c r="N50" s="9">
        <f t="shared" si="6"/>
        <v>5</v>
      </c>
      <c r="O50" s="9">
        <f t="shared" si="7"/>
        <v>12</v>
      </c>
      <c r="P50" s="9">
        <f t="shared" si="8"/>
        <v>7</v>
      </c>
      <c r="Q50" s="9">
        <f t="shared" si="9"/>
        <v>1</v>
      </c>
      <c r="R50" s="9">
        <f t="shared" si="10"/>
        <v>0</v>
      </c>
      <c r="S50" s="9">
        <f t="shared" si="11"/>
        <v>1</v>
      </c>
      <c r="T50" s="9">
        <f t="shared" si="12"/>
        <v>0</v>
      </c>
      <c r="U50" s="14" t="str">
        <f t="shared" si="15"/>
        <v>Weinberger, R</v>
      </c>
      <c r="V50" s="14" t="str">
        <f t="shared" si="16"/>
        <v>1.MGC Gelsenkirchen</v>
      </c>
      <c r="W50" s="3"/>
    </row>
    <row r="51" spans="1:23" ht="12.75">
      <c r="A51" s="2" t="s">
        <v>311</v>
      </c>
      <c r="B51" s="2" t="s">
        <v>229</v>
      </c>
      <c r="C51" s="4" t="s">
        <v>155</v>
      </c>
      <c r="D51" s="5"/>
      <c r="E51" s="5"/>
      <c r="F51" s="6"/>
      <c r="G51" s="6"/>
      <c r="H51" s="6"/>
      <c r="I51" s="6">
        <v>104</v>
      </c>
      <c r="J51" s="33"/>
      <c r="K51" s="9">
        <f t="shared" si="3"/>
        <v>10</v>
      </c>
      <c r="L51" s="9">
        <f t="shared" si="4"/>
        <v>1</v>
      </c>
      <c r="M51" s="9">
        <f t="shared" si="5"/>
        <v>3</v>
      </c>
      <c r="N51" s="9">
        <f t="shared" si="6"/>
        <v>6</v>
      </c>
      <c r="O51" s="9">
        <f t="shared" si="7"/>
        <v>12</v>
      </c>
      <c r="P51" s="9">
        <f t="shared" si="8"/>
        <v>7</v>
      </c>
      <c r="Q51" s="9">
        <f t="shared" si="9"/>
        <v>1</v>
      </c>
      <c r="R51" s="9">
        <f t="shared" si="10"/>
        <v>0</v>
      </c>
      <c r="S51" s="9">
        <f t="shared" si="11"/>
        <v>1</v>
      </c>
      <c r="T51" s="9">
        <f t="shared" si="12"/>
        <v>0</v>
      </c>
      <c r="U51" s="14" t="str">
        <f t="shared" si="13"/>
        <v>Weinberger, G</v>
      </c>
      <c r="V51" s="14" t="str">
        <f t="shared" si="14"/>
        <v>1.MGC Gelsenkirchen</v>
      </c>
      <c r="W51" s="3"/>
    </row>
    <row r="52" spans="1:23" ht="12.75">
      <c r="A52" s="2"/>
      <c r="B52" s="2"/>
      <c r="C52" s="4"/>
      <c r="D52" s="5"/>
      <c r="E52" s="5"/>
      <c r="F52" s="6"/>
      <c r="G52" s="6"/>
      <c r="H52" s="6"/>
      <c r="I52" s="6"/>
      <c r="J52" s="33"/>
      <c r="K52" s="9">
        <f t="shared" si="3"/>
        <v>10</v>
      </c>
      <c r="L52" s="9">
        <f t="shared" si="4"/>
        <v>1</v>
      </c>
      <c r="M52" s="9">
        <f t="shared" si="5"/>
        <v>3</v>
      </c>
      <c r="N52" s="9">
        <f t="shared" si="6"/>
        <v>6</v>
      </c>
      <c r="O52" s="9">
        <f t="shared" si="7"/>
        <v>12</v>
      </c>
      <c r="P52" s="9">
        <f t="shared" si="8"/>
        <v>7</v>
      </c>
      <c r="Q52" s="9">
        <f t="shared" si="9"/>
        <v>1</v>
      </c>
      <c r="R52" s="9">
        <f t="shared" si="10"/>
        <v>0</v>
      </c>
      <c r="S52" s="9">
        <f t="shared" si="11"/>
        <v>1</v>
      </c>
      <c r="T52" s="9">
        <f t="shared" si="12"/>
        <v>0</v>
      </c>
      <c r="U52" s="14">
        <f t="shared" si="13"/>
        <v>0</v>
      </c>
      <c r="V52" s="14">
        <f t="shared" si="14"/>
        <v>0</v>
      </c>
      <c r="W52" s="3"/>
    </row>
    <row r="53" spans="1:23" ht="12.75">
      <c r="A53" s="2" t="s">
        <v>230</v>
      </c>
      <c r="B53" s="2" t="s">
        <v>255</v>
      </c>
      <c r="C53" s="4" t="s">
        <v>156</v>
      </c>
      <c r="D53" s="5">
        <v>93</v>
      </c>
      <c r="E53" s="5">
        <v>93</v>
      </c>
      <c r="F53" s="6">
        <v>96</v>
      </c>
      <c r="G53" s="6">
        <v>93</v>
      </c>
      <c r="H53" s="6">
        <v>96</v>
      </c>
      <c r="I53" s="6">
        <v>90</v>
      </c>
      <c r="J53" s="33"/>
      <c r="K53" s="9">
        <f t="shared" si="3"/>
        <v>10</v>
      </c>
      <c r="L53" s="9">
        <f t="shared" si="4"/>
        <v>1</v>
      </c>
      <c r="M53" s="9">
        <f t="shared" si="5"/>
        <v>4</v>
      </c>
      <c r="N53" s="9">
        <f t="shared" si="6"/>
        <v>6</v>
      </c>
      <c r="O53" s="9">
        <f t="shared" si="7"/>
        <v>12</v>
      </c>
      <c r="P53" s="9">
        <f t="shared" si="8"/>
        <v>7</v>
      </c>
      <c r="Q53" s="9">
        <f t="shared" si="9"/>
        <v>1</v>
      </c>
      <c r="R53" s="9">
        <f t="shared" si="10"/>
        <v>0</v>
      </c>
      <c r="S53" s="9">
        <f t="shared" si="11"/>
        <v>1</v>
      </c>
      <c r="T53" s="9">
        <f t="shared" si="12"/>
        <v>0</v>
      </c>
      <c r="U53" s="14" t="str">
        <f t="shared" si="13"/>
        <v>Bever, H</v>
      </c>
      <c r="V53" s="14" t="str">
        <f t="shared" si="14"/>
        <v>1.MSC Wesel</v>
      </c>
      <c r="W53" s="3"/>
    </row>
    <row r="54" spans="1:23" ht="12.75">
      <c r="A54" s="2" t="s">
        <v>231</v>
      </c>
      <c r="B54" s="2" t="s">
        <v>255</v>
      </c>
      <c r="C54" s="4" t="s">
        <v>155</v>
      </c>
      <c r="D54" s="5">
        <v>107</v>
      </c>
      <c r="E54" s="5">
        <v>102</v>
      </c>
      <c r="F54" s="6">
        <v>105</v>
      </c>
      <c r="G54" s="6">
        <v>99</v>
      </c>
      <c r="H54" s="6">
        <v>97</v>
      </c>
      <c r="I54" s="6">
        <v>101</v>
      </c>
      <c r="J54" s="33"/>
      <c r="K54" s="9">
        <f t="shared" si="3"/>
        <v>10</v>
      </c>
      <c r="L54" s="9">
        <f t="shared" si="4"/>
        <v>1</v>
      </c>
      <c r="M54" s="9">
        <f t="shared" si="5"/>
        <v>4</v>
      </c>
      <c r="N54" s="9">
        <f t="shared" si="6"/>
        <v>7</v>
      </c>
      <c r="O54" s="9">
        <f t="shared" si="7"/>
        <v>12</v>
      </c>
      <c r="P54" s="9">
        <f t="shared" si="8"/>
        <v>7</v>
      </c>
      <c r="Q54" s="9">
        <f t="shared" si="9"/>
        <v>1</v>
      </c>
      <c r="R54" s="9">
        <f t="shared" si="10"/>
        <v>0</v>
      </c>
      <c r="S54" s="9">
        <f t="shared" si="11"/>
        <v>1</v>
      </c>
      <c r="T54" s="9">
        <f t="shared" si="12"/>
        <v>0</v>
      </c>
      <c r="U54" s="14" t="str">
        <f t="shared" si="13"/>
        <v>Bork, E</v>
      </c>
      <c r="V54" s="14" t="str">
        <f t="shared" si="14"/>
        <v>1.MSC Wesel</v>
      </c>
      <c r="W54" s="3"/>
    </row>
    <row r="55" spans="1:23" ht="12.75">
      <c r="A55" s="2" t="s">
        <v>232</v>
      </c>
      <c r="B55" s="2" t="s">
        <v>255</v>
      </c>
      <c r="C55" s="4" t="s">
        <v>156</v>
      </c>
      <c r="D55" s="5">
        <v>101</v>
      </c>
      <c r="E55" s="5">
        <v>115</v>
      </c>
      <c r="F55" s="6">
        <v>97</v>
      </c>
      <c r="G55" s="6">
        <v>96</v>
      </c>
      <c r="H55" s="6">
        <v>98</v>
      </c>
      <c r="I55" s="6">
        <v>107</v>
      </c>
      <c r="J55" s="33"/>
      <c r="K55" s="9">
        <f t="shared" si="3"/>
        <v>10</v>
      </c>
      <c r="L55" s="9">
        <f t="shared" si="4"/>
        <v>1</v>
      </c>
      <c r="M55" s="9">
        <f t="shared" si="5"/>
        <v>5</v>
      </c>
      <c r="N55" s="9">
        <f t="shared" si="6"/>
        <v>7</v>
      </c>
      <c r="O55" s="9">
        <f t="shared" si="7"/>
        <v>12</v>
      </c>
      <c r="P55" s="9">
        <f t="shared" si="8"/>
        <v>7</v>
      </c>
      <c r="Q55" s="9">
        <f t="shared" si="9"/>
        <v>1</v>
      </c>
      <c r="R55" s="9">
        <f t="shared" si="10"/>
        <v>0</v>
      </c>
      <c r="S55" s="9">
        <f t="shared" si="11"/>
        <v>1</v>
      </c>
      <c r="T55" s="9">
        <f t="shared" si="12"/>
        <v>0</v>
      </c>
      <c r="U55" s="14" t="str">
        <f t="shared" si="13"/>
        <v>Bork, G</v>
      </c>
      <c r="V55" s="14" t="str">
        <f t="shared" si="14"/>
        <v>1.MSC Wesel</v>
      </c>
      <c r="W55" s="3"/>
    </row>
    <row r="56" spans="1:23" ht="12.75">
      <c r="A56" s="2" t="s">
        <v>233</v>
      </c>
      <c r="B56" s="2" t="s">
        <v>255</v>
      </c>
      <c r="C56" s="4" t="s">
        <v>160</v>
      </c>
      <c r="D56" s="5"/>
      <c r="E56" s="5">
        <v>95</v>
      </c>
      <c r="F56" s="6"/>
      <c r="G56" s="6">
        <v>100</v>
      </c>
      <c r="H56" s="6"/>
      <c r="I56" s="6"/>
      <c r="J56" s="33"/>
      <c r="K56" s="9">
        <f t="shared" si="3"/>
        <v>10</v>
      </c>
      <c r="L56" s="9">
        <f t="shared" si="4"/>
        <v>1</v>
      </c>
      <c r="M56" s="9">
        <f t="shared" si="5"/>
        <v>5</v>
      </c>
      <c r="N56" s="9">
        <f t="shared" si="6"/>
        <v>7</v>
      </c>
      <c r="O56" s="9">
        <f t="shared" si="7"/>
        <v>12</v>
      </c>
      <c r="P56" s="9">
        <f t="shared" si="8"/>
        <v>7</v>
      </c>
      <c r="Q56" s="9">
        <f t="shared" si="9"/>
        <v>2</v>
      </c>
      <c r="R56" s="9">
        <f t="shared" si="10"/>
        <v>0</v>
      </c>
      <c r="S56" s="9">
        <f t="shared" si="11"/>
        <v>1</v>
      </c>
      <c r="T56" s="9">
        <f t="shared" si="12"/>
        <v>0</v>
      </c>
      <c r="U56" s="14" t="str">
        <f t="shared" si="13"/>
        <v>Dötterl, D</v>
      </c>
      <c r="V56" s="14" t="str">
        <f t="shared" si="14"/>
        <v>1.MSC Wesel</v>
      </c>
      <c r="W56" s="3"/>
    </row>
    <row r="57" spans="1:23" ht="12.75">
      <c r="A57" s="2" t="s">
        <v>234</v>
      </c>
      <c r="B57" s="2" t="s">
        <v>255</v>
      </c>
      <c r="C57" s="4" t="s">
        <v>153</v>
      </c>
      <c r="D57" s="5">
        <v>108</v>
      </c>
      <c r="E57" s="5"/>
      <c r="F57" s="6"/>
      <c r="G57" s="6">
        <v>105</v>
      </c>
      <c r="H57" s="6"/>
      <c r="I57" s="6"/>
      <c r="J57" s="33"/>
      <c r="K57" s="9">
        <f t="shared" si="3"/>
        <v>10</v>
      </c>
      <c r="L57" s="9">
        <f t="shared" si="4"/>
        <v>2</v>
      </c>
      <c r="M57" s="9">
        <f t="shared" si="5"/>
        <v>5</v>
      </c>
      <c r="N57" s="9">
        <f t="shared" si="6"/>
        <v>7</v>
      </c>
      <c r="O57" s="9">
        <f t="shared" si="7"/>
        <v>12</v>
      </c>
      <c r="P57" s="9">
        <f t="shared" si="8"/>
        <v>7</v>
      </c>
      <c r="Q57" s="9">
        <f t="shared" si="9"/>
        <v>2</v>
      </c>
      <c r="R57" s="9">
        <f t="shared" si="10"/>
        <v>0</v>
      </c>
      <c r="S57" s="9">
        <f t="shared" si="11"/>
        <v>1</v>
      </c>
      <c r="T57" s="9">
        <f t="shared" si="12"/>
        <v>0</v>
      </c>
      <c r="U57" s="14" t="str">
        <f t="shared" si="13"/>
        <v>Freitag, A</v>
      </c>
      <c r="V57" s="14" t="str">
        <f t="shared" si="14"/>
        <v>1.MSC Wesel</v>
      </c>
      <c r="W57" s="3"/>
    </row>
    <row r="58" spans="1:23" ht="12.75">
      <c r="A58" s="2" t="s">
        <v>235</v>
      </c>
      <c r="B58" s="2" t="s">
        <v>255</v>
      </c>
      <c r="C58" s="4" t="s">
        <v>156</v>
      </c>
      <c r="D58" s="5">
        <v>116</v>
      </c>
      <c r="E58" s="5">
        <v>98</v>
      </c>
      <c r="F58" s="6">
        <v>109</v>
      </c>
      <c r="G58" s="6">
        <v>105</v>
      </c>
      <c r="H58" s="6">
        <v>93</v>
      </c>
      <c r="I58" s="6">
        <v>107</v>
      </c>
      <c r="J58" s="33"/>
      <c r="K58" s="9">
        <f t="shared" si="3"/>
        <v>10</v>
      </c>
      <c r="L58" s="9">
        <f t="shared" si="4"/>
        <v>2</v>
      </c>
      <c r="M58" s="9">
        <f t="shared" si="5"/>
        <v>6</v>
      </c>
      <c r="N58" s="9">
        <f t="shared" si="6"/>
        <v>7</v>
      </c>
      <c r="O58" s="9">
        <f t="shared" si="7"/>
        <v>12</v>
      </c>
      <c r="P58" s="9">
        <f t="shared" si="8"/>
        <v>7</v>
      </c>
      <c r="Q58" s="9">
        <f t="shared" si="9"/>
        <v>2</v>
      </c>
      <c r="R58" s="9">
        <f t="shared" si="10"/>
        <v>0</v>
      </c>
      <c r="S58" s="9">
        <f t="shared" si="11"/>
        <v>1</v>
      </c>
      <c r="T58" s="9">
        <f t="shared" si="12"/>
        <v>0</v>
      </c>
      <c r="U58" s="14" t="str">
        <f t="shared" si="13"/>
        <v>Heine, L</v>
      </c>
      <c r="V58" s="14" t="str">
        <f t="shared" si="14"/>
        <v>1.MSC Wesel</v>
      </c>
      <c r="W58" s="3"/>
    </row>
    <row r="59" spans="1:23" ht="12.75">
      <c r="A59" s="2" t="s">
        <v>236</v>
      </c>
      <c r="B59" s="2" t="s">
        <v>255</v>
      </c>
      <c r="C59" s="4" t="s">
        <v>156</v>
      </c>
      <c r="D59" s="5">
        <v>113</v>
      </c>
      <c r="E59" s="5">
        <v>115</v>
      </c>
      <c r="F59" s="6">
        <v>108</v>
      </c>
      <c r="G59" s="6">
        <v>104</v>
      </c>
      <c r="H59" s="6">
        <v>117</v>
      </c>
      <c r="I59" s="6">
        <v>98</v>
      </c>
      <c r="J59" s="33"/>
      <c r="K59" s="9">
        <f t="shared" si="3"/>
        <v>10</v>
      </c>
      <c r="L59" s="9">
        <f t="shared" si="4"/>
        <v>2</v>
      </c>
      <c r="M59" s="9">
        <f t="shared" si="5"/>
        <v>7</v>
      </c>
      <c r="N59" s="9">
        <f t="shared" si="6"/>
        <v>7</v>
      </c>
      <c r="O59" s="9">
        <f t="shared" si="7"/>
        <v>12</v>
      </c>
      <c r="P59" s="9">
        <f t="shared" si="8"/>
        <v>7</v>
      </c>
      <c r="Q59" s="9">
        <f t="shared" si="9"/>
        <v>2</v>
      </c>
      <c r="R59" s="9">
        <f t="shared" si="10"/>
        <v>0</v>
      </c>
      <c r="S59" s="9">
        <f t="shared" si="11"/>
        <v>1</v>
      </c>
      <c r="T59" s="9">
        <f t="shared" si="12"/>
        <v>0</v>
      </c>
      <c r="U59" s="14" t="str">
        <f t="shared" si="13"/>
        <v>Heinrich, W</v>
      </c>
      <c r="V59" s="14" t="str">
        <f t="shared" si="14"/>
        <v>1.MSC Wesel</v>
      </c>
      <c r="W59" s="3"/>
    </row>
    <row r="60" spans="1:23" ht="12.75">
      <c r="A60" s="2" t="s">
        <v>237</v>
      </c>
      <c r="B60" s="2" t="s">
        <v>255</v>
      </c>
      <c r="C60" s="4" t="s">
        <v>158</v>
      </c>
      <c r="D60" s="5">
        <v>96</v>
      </c>
      <c r="E60" s="5">
        <v>100</v>
      </c>
      <c r="F60" s="6">
        <v>108</v>
      </c>
      <c r="G60" s="6">
        <v>102</v>
      </c>
      <c r="H60" s="6">
        <v>97</v>
      </c>
      <c r="I60" s="6">
        <v>111</v>
      </c>
      <c r="J60" s="33"/>
      <c r="K60" s="9">
        <f t="shared" si="3"/>
        <v>10</v>
      </c>
      <c r="L60" s="9">
        <f t="shared" si="4"/>
        <v>2</v>
      </c>
      <c r="M60" s="9">
        <f t="shared" si="5"/>
        <v>7</v>
      </c>
      <c r="N60" s="9">
        <f t="shared" si="6"/>
        <v>7</v>
      </c>
      <c r="O60" s="9">
        <f t="shared" si="7"/>
        <v>13</v>
      </c>
      <c r="P60" s="9">
        <f t="shared" si="8"/>
        <v>7</v>
      </c>
      <c r="Q60" s="9">
        <f t="shared" si="9"/>
        <v>2</v>
      </c>
      <c r="R60" s="9">
        <f t="shared" si="10"/>
        <v>0</v>
      </c>
      <c r="S60" s="9">
        <f t="shared" si="11"/>
        <v>1</v>
      </c>
      <c r="T60" s="9">
        <f t="shared" si="12"/>
        <v>0</v>
      </c>
      <c r="U60" s="14" t="str">
        <f t="shared" si="13"/>
        <v>Isselmann, W</v>
      </c>
      <c r="V60" s="14" t="str">
        <f t="shared" si="14"/>
        <v>1.MSC Wesel</v>
      </c>
      <c r="W60" s="3"/>
    </row>
    <row r="61" spans="1:23" ht="12.75">
      <c r="A61" s="2" t="s">
        <v>238</v>
      </c>
      <c r="B61" s="2" t="s">
        <v>255</v>
      </c>
      <c r="C61" s="4" t="s">
        <v>158</v>
      </c>
      <c r="D61" s="5">
        <v>99</v>
      </c>
      <c r="E61" s="5">
        <v>99</v>
      </c>
      <c r="F61" s="6">
        <v>108</v>
      </c>
      <c r="G61" s="6">
        <v>110</v>
      </c>
      <c r="H61" s="6">
        <v>102</v>
      </c>
      <c r="I61" s="6">
        <v>94</v>
      </c>
      <c r="J61" s="33"/>
      <c r="K61" s="9">
        <f t="shared" si="3"/>
        <v>10</v>
      </c>
      <c r="L61" s="9">
        <f t="shared" si="4"/>
        <v>2</v>
      </c>
      <c r="M61" s="9">
        <f t="shared" si="5"/>
        <v>7</v>
      </c>
      <c r="N61" s="9">
        <f t="shared" si="6"/>
        <v>7</v>
      </c>
      <c r="O61" s="9">
        <f t="shared" si="7"/>
        <v>14</v>
      </c>
      <c r="P61" s="9">
        <f t="shared" si="8"/>
        <v>7</v>
      </c>
      <c r="Q61" s="9">
        <f t="shared" si="9"/>
        <v>2</v>
      </c>
      <c r="R61" s="9">
        <f t="shared" si="10"/>
        <v>0</v>
      </c>
      <c r="S61" s="9">
        <f t="shared" si="11"/>
        <v>1</v>
      </c>
      <c r="T61" s="9">
        <f t="shared" si="12"/>
        <v>0</v>
      </c>
      <c r="U61" s="14" t="str">
        <f t="shared" si="13"/>
        <v>König, K</v>
      </c>
      <c r="V61" s="14" t="str">
        <f t="shared" si="14"/>
        <v>1.MSC Wesel</v>
      </c>
      <c r="W61" s="3"/>
    </row>
    <row r="62" spans="1:23" ht="12.75">
      <c r="A62" s="2" t="s">
        <v>239</v>
      </c>
      <c r="B62" s="2" t="s">
        <v>255</v>
      </c>
      <c r="C62" s="7" t="s">
        <v>157</v>
      </c>
      <c r="D62" s="5">
        <v>107</v>
      </c>
      <c r="E62" s="5">
        <v>108</v>
      </c>
      <c r="F62" s="6">
        <v>89</v>
      </c>
      <c r="G62" s="6">
        <v>97</v>
      </c>
      <c r="H62" s="6">
        <v>100</v>
      </c>
      <c r="I62" s="6">
        <v>100</v>
      </c>
      <c r="J62" s="33"/>
      <c r="K62" s="9">
        <f t="shared" si="3"/>
        <v>11</v>
      </c>
      <c r="L62" s="9">
        <f t="shared" si="4"/>
        <v>2</v>
      </c>
      <c r="M62" s="9">
        <f t="shared" si="5"/>
        <v>7</v>
      </c>
      <c r="N62" s="9">
        <f t="shared" si="6"/>
        <v>7</v>
      </c>
      <c r="O62" s="9">
        <f t="shared" si="7"/>
        <v>14</v>
      </c>
      <c r="P62" s="9">
        <f t="shared" si="8"/>
        <v>7</v>
      </c>
      <c r="Q62" s="9">
        <f t="shared" si="9"/>
        <v>2</v>
      </c>
      <c r="R62" s="9">
        <f t="shared" si="10"/>
        <v>0</v>
      </c>
      <c r="S62" s="9">
        <f t="shared" si="11"/>
        <v>1</v>
      </c>
      <c r="T62" s="9">
        <f t="shared" si="12"/>
        <v>0</v>
      </c>
      <c r="U62" s="14" t="str">
        <f t="shared" si="13"/>
        <v>Lach, M</v>
      </c>
      <c r="V62" s="14" t="str">
        <f t="shared" si="14"/>
        <v>1.MSC Wesel</v>
      </c>
      <c r="W62" s="3"/>
    </row>
    <row r="63" spans="1:23" ht="12.75">
      <c r="A63" s="2" t="s">
        <v>240</v>
      </c>
      <c r="B63" s="2" t="s">
        <v>255</v>
      </c>
      <c r="C63" s="4" t="s">
        <v>155</v>
      </c>
      <c r="D63" s="5">
        <v>113</v>
      </c>
      <c r="E63" s="5">
        <v>92</v>
      </c>
      <c r="F63" s="6">
        <v>98</v>
      </c>
      <c r="G63" s="6">
        <v>102</v>
      </c>
      <c r="H63" s="6">
        <v>106</v>
      </c>
      <c r="I63" s="6">
        <v>111</v>
      </c>
      <c r="J63" s="33"/>
      <c r="K63" s="9">
        <f t="shared" si="3"/>
        <v>11</v>
      </c>
      <c r="L63" s="9">
        <f t="shared" si="4"/>
        <v>2</v>
      </c>
      <c r="M63" s="9">
        <f t="shared" si="5"/>
        <v>7</v>
      </c>
      <c r="N63" s="9">
        <f t="shared" si="6"/>
        <v>8</v>
      </c>
      <c r="O63" s="9">
        <f t="shared" si="7"/>
        <v>14</v>
      </c>
      <c r="P63" s="9">
        <f t="shared" si="8"/>
        <v>7</v>
      </c>
      <c r="Q63" s="9">
        <f t="shared" si="9"/>
        <v>2</v>
      </c>
      <c r="R63" s="9">
        <f t="shared" si="10"/>
        <v>0</v>
      </c>
      <c r="S63" s="9">
        <f t="shared" si="11"/>
        <v>1</v>
      </c>
      <c r="T63" s="9">
        <f t="shared" si="12"/>
        <v>0</v>
      </c>
      <c r="U63" s="14" t="str">
        <f t="shared" si="13"/>
        <v>Plängsken, R</v>
      </c>
      <c r="V63" s="14" t="str">
        <f t="shared" si="14"/>
        <v>1.MSC Wesel</v>
      </c>
      <c r="W63" s="3"/>
    </row>
    <row r="64" spans="1:23" ht="12.75">
      <c r="A64" s="2" t="s">
        <v>241</v>
      </c>
      <c r="B64" s="2" t="s">
        <v>255</v>
      </c>
      <c r="C64" s="4" t="s">
        <v>156</v>
      </c>
      <c r="D64" s="5">
        <v>107</v>
      </c>
      <c r="E64" s="5"/>
      <c r="F64" s="6">
        <v>102</v>
      </c>
      <c r="G64" s="6">
        <v>104</v>
      </c>
      <c r="H64" s="6">
        <v>102</v>
      </c>
      <c r="I64" s="6">
        <v>101</v>
      </c>
      <c r="J64" s="33"/>
      <c r="K64" s="9">
        <f t="shared" si="3"/>
        <v>11</v>
      </c>
      <c r="L64" s="9">
        <f t="shared" si="4"/>
        <v>2</v>
      </c>
      <c r="M64" s="9">
        <f t="shared" si="5"/>
        <v>8</v>
      </c>
      <c r="N64" s="9">
        <f t="shared" si="6"/>
        <v>8</v>
      </c>
      <c r="O64" s="9">
        <f t="shared" si="7"/>
        <v>14</v>
      </c>
      <c r="P64" s="9">
        <f t="shared" si="8"/>
        <v>7</v>
      </c>
      <c r="Q64" s="9">
        <f t="shared" si="9"/>
        <v>2</v>
      </c>
      <c r="R64" s="9">
        <f t="shared" si="10"/>
        <v>0</v>
      </c>
      <c r="S64" s="9">
        <f t="shared" si="11"/>
        <v>1</v>
      </c>
      <c r="T64" s="9">
        <f t="shared" si="12"/>
        <v>0</v>
      </c>
      <c r="U64" s="14" t="str">
        <f t="shared" si="13"/>
        <v>Rüger, D</v>
      </c>
      <c r="V64" s="14" t="str">
        <f t="shared" si="14"/>
        <v>1.MSC Wesel</v>
      </c>
      <c r="W64" s="3"/>
    </row>
    <row r="65" spans="1:23" ht="12.75">
      <c r="A65" s="2" t="s">
        <v>242</v>
      </c>
      <c r="B65" s="2" t="s">
        <v>255</v>
      </c>
      <c r="C65" s="4" t="s">
        <v>159</v>
      </c>
      <c r="D65" s="5">
        <v>137</v>
      </c>
      <c r="E65" s="5"/>
      <c r="F65" s="6"/>
      <c r="G65" s="6">
        <v>111</v>
      </c>
      <c r="H65" s="6"/>
      <c r="I65" s="6"/>
      <c r="J65" s="33"/>
      <c r="K65" s="9">
        <f t="shared" si="3"/>
        <v>11</v>
      </c>
      <c r="L65" s="9">
        <f t="shared" si="4"/>
        <v>2</v>
      </c>
      <c r="M65" s="9">
        <f t="shared" si="5"/>
        <v>8</v>
      </c>
      <c r="N65" s="9">
        <f t="shared" si="6"/>
        <v>8</v>
      </c>
      <c r="O65" s="9">
        <f t="shared" si="7"/>
        <v>14</v>
      </c>
      <c r="P65" s="9">
        <f t="shared" si="8"/>
        <v>8</v>
      </c>
      <c r="Q65" s="9">
        <f t="shared" si="9"/>
        <v>2</v>
      </c>
      <c r="R65" s="9">
        <f t="shared" si="10"/>
        <v>0</v>
      </c>
      <c r="S65" s="9">
        <f t="shared" si="11"/>
        <v>1</v>
      </c>
      <c r="T65" s="9">
        <f t="shared" si="12"/>
        <v>0</v>
      </c>
      <c r="U65" s="14" t="str">
        <f t="shared" si="13"/>
        <v>Rüger, Joh</v>
      </c>
      <c r="V65" s="14" t="str">
        <f t="shared" si="14"/>
        <v>1.MSC Wesel</v>
      </c>
      <c r="W65" s="3"/>
    </row>
    <row r="66" spans="1:23" ht="12.75">
      <c r="A66" s="2" t="s">
        <v>243</v>
      </c>
      <c r="B66" s="2" t="s">
        <v>255</v>
      </c>
      <c r="C66" s="4" t="s">
        <v>156</v>
      </c>
      <c r="D66" s="5">
        <v>107</v>
      </c>
      <c r="E66" s="5"/>
      <c r="F66" s="6">
        <v>104</v>
      </c>
      <c r="G66" s="6">
        <v>99</v>
      </c>
      <c r="H66" s="6">
        <v>106</v>
      </c>
      <c r="I66" s="6">
        <v>104</v>
      </c>
      <c r="J66" s="33"/>
      <c r="K66" s="9">
        <f t="shared" si="3"/>
        <v>11</v>
      </c>
      <c r="L66" s="9">
        <f t="shared" si="4"/>
        <v>2</v>
      </c>
      <c r="M66" s="9">
        <f t="shared" si="5"/>
        <v>9</v>
      </c>
      <c r="N66" s="9">
        <f t="shared" si="6"/>
        <v>8</v>
      </c>
      <c r="O66" s="9">
        <f t="shared" si="7"/>
        <v>14</v>
      </c>
      <c r="P66" s="9">
        <f t="shared" si="8"/>
        <v>8</v>
      </c>
      <c r="Q66" s="9">
        <f t="shared" si="9"/>
        <v>2</v>
      </c>
      <c r="R66" s="9">
        <f t="shared" si="10"/>
        <v>0</v>
      </c>
      <c r="S66" s="9">
        <f t="shared" si="11"/>
        <v>1</v>
      </c>
      <c r="T66" s="9">
        <f t="shared" si="12"/>
        <v>0</v>
      </c>
      <c r="U66" s="14" t="str">
        <f t="shared" si="13"/>
        <v>Rüger, Jos</v>
      </c>
      <c r="V66" s="14" t="str">
        <f t="shared" si="14"/>
        <v>1.MSC Wesel</v>
      </c>
      <c r="W66" s="3"/>
    </row>
    <row r="67" spans="1:23" ht="12.75">
      <c r="A67" s="2" t="s">
        <v>310</v>
      </c>
      <c r="B67" s="2" t="s">
        <v>255</v>
      </c>
      <c r="C67" s="4" t="s">
        <v>157</v>
      </c>
      <c r="D67" s="5">
        <v>117</v>
      </c>
      <c r="E67" s="5"/>
      <c r="F67" s="6">
        <v>100</v>
      </c>
      <c r="G67" s="6">
        <v>110</v>
      </c>
      <c r="H67" s="6">
        <v>109</v>
      </c>
      <c r="I67" s="6"/>
      <c r="J67" s="33"/>
      <c r="K67" s="9">
        <f t="shared" si="3"/>
        <v>12</v>
      </c>
      <c r="L67" s="9">
        <f t="shared" si="4"/>
        <v>2</v>
      </c>
      <c r="M67" s="9">
        <f t="shared" si="5"/>
        <v>9</v>
      </c>
      <c r="N67" s="9">
        <f t="shared" si="6"/>
        <v>8</v>
      </c>
      <c r="O67" s="9">
        <f t="shared" si="7"/>
        <v>14</v>
      </c>
      <c r="P67" s="9">
        <f t="shared" si="8"/>
        <v>8</v>
      </c>
      <c r="Q67" s="9">
        <f t="shared" si="9"/>
        <v>2</v>
      </c>
      <c r="R67" s="9">
        <f t="shared" si="10"/>
        <v>0</v>
      </c>
      <c r="S67" s="9">
        <f t="shared" si="11"/>
        <v>1</v>
      </c>
      <c r="T67" s="9">
        <f t="shared" si="12"/>
        <v>0</v>
      </c>
      <c r="U67" s="14" t="str">
        <f t="shared" si="13"/>
        <v>Rüger, M</v>
      </c>
      <c r="V67" s="14" t="str">
        <f t="shared" si="14"/>
        <v>1.MSC Wesel</v>
      </c>
      <c r="W67" s="3"/>
    </row>
    <row r="68" spans="1:23" ht="12.75">
      <c r="A68" s="2" t="s">
        <v>244</v>
      </c>
      <c r="B68" s="2" t="s">
        <v>255</v>
      </c>
      <c r="C68" s="4" t="s">
        <v>156</v>
      </c>
      <c r="D68" s="5">
        <v>90</v>
      </c>
      <c r="E68" s="5">
        <v>93</v>
      </c>
      <c r="F68" s="6">
        <v>89</v>
      </c>
      <c r="G68" s="6">
        <v>88</v>
      </c>
      <c r="H68" s="6">
        <v>90</v>
      </c>
      <c r="I68" s="6">
        <v>88</v>
      </c>
      <c r="J68" s="33"/>
      <c r="K68" s="9">
        <f aca="true" t="shared" si="17" ref="K68:K123">IF($A68="AAAAAAAAAA",0,IF($C68=K$1,K67+1,K67))</f>
        <v>12</v>
      </c>
      <c r="L68" s="9">
        <f aca="true" t="shared" si="18" ref="L68:L123">IF($A68="AAAAAAAAAA",0,IF($C68=L$1,L67+1,L67))</f>
        <v>2</v>
      </c>
      <c r="M68" s="9">
        <f aca="true" t="shared" si="19" ref="M68:M123">IF($A68="AAAAAAAAAA",0,IF($C68=M$1,M67+1,M67))</f>
        <v>10</v>
      </c>
      <c r="N68" s="9">
        <f aca="true" t="shared" si="20" ref="N68:N123">IF($A68="AAAAAAAAAA",0,IF($C68=N$1,N67+1,N67))</f>
        <v>8</v>
      </c>
      <c r="O68" s="9">
        <f aca="true" t="shared" si="21" ref="O68:O123">IF($A68="AAAAAAAAAA",0,IF($C68=O$1,O67+1,O67))</f>
        <v>14</v>
      </c>
      <c r="P68" s="9">
        <f aca="true" t="shared" si="22" ref="P68:P123">IF($A68="AAAAAAAAAA",0,IF($C68=P$1,P67+1,P67))</f>
        <v>8</v>
      </c>
      <c r="Q68" s="9">
        <f aca="true" t="shared" si="23" ref="Q68:Q123">IF($A68="AAAAAAAAAA",0,IF($C68=Q$1,Q67+1,Q67))</f>
        <v>2</v>
      </c>
      <c r="R68" s="9">
        <f aca="true" t="shared" si="24" ref="R68:R123">IF($A68="AAAAAAAAAA",0,IF($C68=R$1,R67+1,R67))</f>
        <v>0</v>
      </c>
      <c r="S68" s="9">
        <f aca="true" t="shared" si="25" ref="S68:S123">IF($A68="AAAAAAAAAA",0,IF($C68=S$1,S67+1,S67))</f>
        <v>1</v>
      </c>
      <c r="T68" s="9">
        <f aca="true" t="shared" si="26" ref="T68:T123">IF($A68="AAAAAAAAAA",0,IF($C68=T$1,T67+1,T67))</f>
        <v>0</v>
      </c>
      <c r="U68" s="14" t="str">
        <f t="shared" si="13"/>
        <v>Schilling, A</v>
      </c>
      <c r="V68" s="14" t="str">
        <f t="shared" si="14"/>
        <v>1.MSC Wesel</v>
      </c>
      <c r="W68" s="3"/>
    </row>
    <row r="69" spans="1:23" ht="12.75">
      <c r="A69" s="2" t="s">
        <v>245</v>
      </c>
      <c r="B69" s="2" t="s">
        <v>255</v>
      </c>
      <c r="C69" s="4" t="s">
        <v>156</v>
      </c>
      <c r="D69" s="5">
        <v>98</v>
      </c>
      <c r="E69" s="5">
        <v>96</v>
      </c>
      <c r="F69" s="6">
        <v>93</v>
      </c>
      <c r="G69" s="6">
        <v>87</v>
      </c>
      <c r="H69" s="6">
        <v>101</v>
      </c>
      <c r="I69" s="6">
        <v>92</v>
      </c>
      <c r="J69" s="33"/>
      <c r="K69" s="9">
        <f t="shared" si="17"/>
        <v>12</v>
      </c>
      <c r="L69" s="9">
        <f t="shared" si="18"/>
        <v>2</v>
      </c>
      <c r="M69" s="9">
        <f t="shared" si="19"/>
        <v>11</v>
      </c>
      <c r="N69" s="9">
        <f t="shared" si="20"/>
        <v>8</v>
      </c>
      <c r="O69" s="9">
        <f t="shared" si="21"/>
        <v>14</v>
      </c>
      <c r="P69" s="9">
        <f t="shared" si="22"/>
        <v>8</v>
      </c>
      <c r="Q69" s="9">
        <f t="shared" si="23"/>
        <v>2</v>
      </c>
      <c r="R69" s="9">
        <f t="shared" si="24"/>
        <v>0</v>
      </c>
      <c r="S69" s="9">
        <f t="shared" si="25"/>
        <v>1</v>
      </c>
      <c r="T69" s="9">
        <f t="shared" si="26"/>
        <v>0</v>
      </c>
      <c r="U69" s="14" t="str">
        <f t="shared" si="13"/>
        <v>Selenic, P</v>
      </c>
      <c r="V69" s="14" t="str">
        <f t="shared" si="14"/>
        <v>1.MSC Wesel</v>
      </c>
      <c r="W69" s="3"/>
    </row>
    <row r="70" spans="1:23" ht="12.75">
      <c r="A70" s="2" t="s">
        <v>246</v>
      </c>
      <c r="B70" s="2" t="s">
        <v>255</v>
      </c>
      <c r="C70" s="4" t="s">
        <v>157</v>
      </c>
      <c r="D70" s="5">
        <v>135</v>
      </c>
      <c r="E70" s="5">
        <v>126</v>
      </c>
      <c r="F70" s="6">
        <v>109</v>
      </c>
      <c r="G70" s="6">
        <v>108</v>
      </c>
      <c r="H70" s="6"/>
      <c r="I70" s="6"/>
      <c r="J70" s="33"/>
      <c r="K70" s="9">
        <f t="shared" si="17"/>
        <v>13</v>
      </c>
      <c r="L70" s="9">
        <f t="shared" si="18"/>
        <v>2</v>
      </c>
      <c r="M70" s="9">
        <f t="shared" si="19"/>
        <v>11</v>
      </c>
      <c r="N70" s="9">
        <f t="shared" si="20"/>
        <v>8</v>
      </c>
      <c r="O70" s="9">
        <f t="shared" si="21"/>
        <v>14</v>
      </c>
      <c r="P70" s="9">
        <f t="shared" si="22"/>
        <v>8</v>
      </c>
      <c r="Q70" s="9">
        <f t="shared" si="23"/>
        <v>2</v>
      </c>
      <c r="R70" s="9">
        <f t="shared" si="24"/>
        <v>0</v>
      </c>
      <c r="S70" s="9">
        <f t="shared" si="25"/>
        <v>1</v>
      </c>
      <c r="T70" s="9">
        <f t="shared" si="26"/>
        <v>0</v>
      </c>
      <c r="U70" s="14" t="str">
        <f t="shared" si="13"/>
        <v>Stodtmeister, H</v>
      </c>
      <c r="V70" s="14" t="str">
        <f t="shared" si="14"/>
        <v>1.MSC Wesel</v>
      </c>
      <c r="W70" s="3"/>
    </row>
    <row r="71" spans="1:23" ht="12.75">
      <c r="A71" s="2" t="s">
        <v>247</v>
      </c>
      <c r="B71" s="2" t="s">
        <v>255</v>
      </c>
      <c r="C71" s="4" t="s">
        <v>157</v>
      </c>
      <c r="D71" s="5">
        <v>111</v>
      </c>
      <c r="E71" s="5">
        <v>105</v>
      </c>
      <c r="F71" s="6">
        <v>104</v>
      </c>
      <c r="G71" s="6">
        <v>101</v>
      </c>
      <c r="H71" s="6">
        <v>107</v>
      </c>
      <c r="I71" s="6">
        <v>110</v>
      </c>
      <c r="J71" s="33"/>
      <c r="K71" s="9">
        <f t="shared" si="17"/>
        <v>14</v>
      </c>
      <c r="L71" s="9">
        <f t="shared" si="18"/>
        <v>2</v>
      </c>
      <c r="M71" s="9">
        <f t="shared" si="19"/>
        <v>11</v>
      </c>
      <c r="N71" s="9">
        <f t="shared" si="20"/>
        <v>8</v>
      </c>
      <c r="O71" s="9">
        <f t="shared" si="21"/>
        <v>14</v>
      </c>
      <c r="P71" s="9">
        <f t="shared" si="22"/>
        <v>8</v>
      </c>
      <c r="Q71" s="9">
        <f t="shared" si="23"/>
        <v>2</v>
      </c>
      <c r="R71" s="9">
        <f t="shared" si="24"/>
        <v>0</v>
      </c>
      <c r="S71" s="9">
        <f t="shared" si="25"/>
        <v>1</v>
      </c>
      <c r="T71" s="9">
        <f t="shared" si="26"/>
        <v>0</v>
      </c>
      <c r="U71" s="14" t="str">
        <f t="shared" si="13"/>
        <v>Stenk, M</v>
      </c>
      <c r="V71" s="14" t="str">
        <f t="shared" si="14"/>
        <v>1.MSC Wesel</v>
      </c>
      <c r="W71" s="3"/>
    </row>
    <row r="72" spans="1:23" ht="12.75">
      <c r="A72" s="2" t="s">
        <v>248</v>
      </c>
      <c r="B72" s="2" t="s">
        <v>255</v>
      </c>
      <c r="C72" s="4" t="s">
        <v>157</v>
      </c>
      <c r="D72" s="5">
        <v>107</v>
      </c>
      <c r="E72" s="5">
        <v>97</v>
      </c>
      <c r="F72" s="6">
        <v>93</v>
      </c>
      <c r="G72" s="6">
        <v>91</v>
      </c>
      <c r="H72" s="6">
        <v>111</v>
      </c>
      <c r="I72" s="6">
        <v>93</v>
      </c>
      <c r="J72" s="33"/>
      <c r="K72" s="9">
        <f t="shared" si="17"/>
        <v>15</v>
      </c>
      <c r="L72" s="9">
        <f t="shared" si="18"/>
        <v>2</v>
      </c>
      <c r="M72" s="9">
        <f t="shared" si="19"/>
        <v>11</v>
      </c>
      <c r="N72" s="9">
        <f t="shared" si="20"/>
        <v>8</v>
      </c>
      <c r="O72" s="9">
        <f t="shared" si="21"/>
        <v>14</v>
      </c>
      <c r="P72" s="9">
        <f t="shared" si="22"/>
        <v>8</v>
      </c>
      <c r="Q72" s="9">
        <f t="shared" si="23"/>
        <v>2</v>
      </c>
      <c r="R72" s="9">
        <f t="shared" si="24"/>
        <v>0</v>
      </c>
      <c r="S72" s="9">
        <f t="shared" si="25"/>
        <v>1</v>
      </c>
      <c r="T72" s="9">
        <f t="shared" si="26"/>
        <v>0</v>
      </c>
      <c r="U72" s="14" t="str">
        <f t="shared" si="13"/>
        <v>Triepel, S</v>
      </c>
      <c r="V72" s="14" t="str">
        <f t="shared" si="14"/>
        <v>1.MSC Wesel</v>
      </c>
      <c r="W72" s="3"/>
    </row>
    <row r="73" spans="1:23" ht="12.75">
      <c r="A73" s="2" t="s">
        <v>249</v>
      </c>
      <c r="B73" s="2" t="s">
        <v>255</v>
      </c>
      <c r="C73" s="4" t="s">
        <v>153</v>
      </c>
      <c r="D73" s="5">
        <v>101</v>
      </c>
      <c r="E73" s="5">
        <v>94</v>
      </c>
      <c r="F73" s="6">
        <v>92</v>
      </c>
      <c r="G73" s="6">
        <v>89</v>
      </c>
      <c r="H73" s="6">
        <v>102</v>
      </c>
      <c r="I73" s="6">
        <v>92</v>
      </c>
      <c r="J73" s="33"/>
      <c r="K73" s="9">
        <f t="shared" si="17"/>
        <v>15</v>
      </c>
      <c r="L73" s="9">
        <f t="shared" si="18"/>
        <v>3</v>
      </c>
      <c r="M73" s="9">
        <f t="shared" si="19"/>
        <v>11</v>
      </c>
      <c r="N73" s="9">
        <f t="shared" si="20"/>
        <v>8</v>
      </c>
      <c r="O73" s="9">
        <f t="shared" si="21"/>
        <v>14</v>
      </c>
      <c r="P73" s="9">
        <f t="shared" si="22"/>
        <v>8</v>
      </c>
      <c r="Q73" s="9">
        <f t="shared" si="23"/>
        <v>2</v>
      </c>
      <c r="R73" s="9">
        <f t="shared" si="24"/>
        <v>0</v>
      </c>
      <c r="S73" s="9">
        <f t="shared" si="25"/>
        <v>1</v>
      </c>
      <c r="T73" s="9">
        <f t="shared" si="26"/>
        <v>0</v>
      </c>
      <c r="U73" s="14" t="str">
        <f t="shared" si="13"/>
        <v>Verhufen, B</v>
      </c>
      <c r="V73" s="14" t="str">
        <f t="shared" si="14"/>
        <v>1.MSC Wesel</v>
      </c>
      <c r="W73" s="3"/>
    </row>
    <row r="74" spans="1:23" ht="12.75">
      <c r="A74" s="2" t="s">
        <v>250</v>
      </c>
      <c r="B74" s="2" t="s">
        <v>255</v>
      </c>
      <c r="C74" s="4" t="s">
        <v>157</v>
      </c>
      <c r="D74" s="5">
        <v>125</v>
      </c>
      <c r="E74" s="5">
        <v>104</v>
      </c>
      <c r="F74" s="6">
        <v>98</v>
      </c>
      <c r="G74" s="6">
        <v>108</v>
      </c>
      <c r="H74" s="6">
        <v>103</v>
      </c>
      <c r="I74" s="6">
        <v>99</v>
      </c>
      <c r="J74" s="33"/>
      <c r="K74" s="9">
        <f t="shared" si="17"/>
        <v>16</v>
      </c>
      <c r="L74" s="9">
        <f t="shared" si="18"/>
        <v>3</v>
      </c>
      <c r="M74" s="9">
        <f t="shared" si="19"/>
        <v>11</v>
      </c>
      <c r="N74" s="9">
        <f t="shared" si="20"/>
        <v>8</v>
      </c>
      <c r="O74" s="9">
        <f t="shared" si="21"/>
        <v>14</v>
      </c>
      <c r="P74" s="9">
        <f t="shared" si="22"/>
        <v>8</v>
      </c>
      <c r="Q74" s="9">
        <f t="shared" si="23"/>
        <v>2</v>
      </c>
      <c r="R74" s="9">
        <f t="shared" si="24"/>
        <v>0</v>
      </c>
      <c r="S74" s="9">
        <f t="shared" si="25"/>
        <v>1</v>
      </c>
      <c r="T74" s="9">
        <f t="shared" si="26"/>
        <v>0</v>
      </c>
      <c r="U74" s="14" t="str">
        <f t="shared" si="13"/>
        <v>Verhufen, R</v>
      </c>
      <c r="V74" s="14" t="str">
        <f t="shared" si="14"/>
        <v>1.MSC Wesel</v>
      </c>
      <c r="W74" s="3"/>
    </row>
    <row r="75" spans="1:23" ht="12.75">
      <c r="A75" s="2" t="s">
        <v>251</v>
      </c>
      <c r="B75" s="2" t="s">
        <v>255</v>
      </c>
      <c r="C75" s="4" t="s">
        <v>154</v>
      </c>
      <c r="D75" s="5">
        <v>114</v>
      </c>
      <c r="E75" s="5">
        <v>99</v>
      </c>
      <c r="F75" s="6">
        <v>98</v>
      </c>
      <c r="G75" s="6">
        <v>96</v>
      </c>
      <c r="H75" s="6">
        <v>103</v>
      </c>
      <c r="I75" s="6">
        <v>90</v>
      </c>
      <c r="J75" s="33"/>
      <c r="K75" s="9">
        <f t="shared" si="17"/>
        <v>16</v>
      </c>
      <c r="L75" s="9">
        <f t="shared" si="18"/>
        <v>3</v>
      </c>
      <c r="M75" s="9">
        <f t="shared" si="19"/>
        <v>11</v>
      </c>
      <c r="N75" s="9">
        <f t="shared" si="20"/>
        <v>8</v>
      </c>
      <c r="O75" s="9">
        <f t="shared" si="21"/>
        <v>14</v>
      </c>
      <c r="P75" s="9">
        <f t="shared" si="22"/>
        <v>8</v>
      </c>
      <c r="Q75" s="9">
        <f t="shared" si="23"/>
        <v>2</v>
      </c>
      <c r="R75" s="9">
        <f t="shared" si="24"/>
        <v>0</v>
      </c>
      <c r="S75" s="9">
        <f t="shared" si="25"/>
        <v>2</v>
      </c>
      <c r="T75" s="9">
        <f t="shared" si="26"/>
        <v>0</v>
      </c>
      <c r="U75" s="14" t="str">
        <f t="shared" si="13"/>
        <v>Wien, A</v>
      </c>
      <c r="V75" s="14" t="str">
        <f t="shared" si="14"/>
        <v>1.MSC Wesel</v>
      </c>
      <c r="W75" s="3"/>
    </row>
    <row r="76" spans="1:23" ht="12.75">
      <c r="A76" s="2" t="s">
        <v>252</v>
      </c>
      <c r="B76" s="2" t="s">
        <v>255</v>
      </c>
      <c r="C76" s="4" t="s">
        <v>154</v>
      </c>
      <c r="D76" s="5">
        <v>128</v>
      </c>
      <c r="E76" s="5">
        <v>118</v>
      </c>
      <c r="F76" s="6">
        <v>114</v>
      </c>
      <c r="G76" s="6"/>
      <c r="H76" s="6"/>
      <c r="I76" s="6"/>
      <c r="J76" s="33"/>
      <c r="K76" s="9">
        <f t="shared" si="17"/>
        <v>16</v>
      </c>
      <c r="L76" s="9">
        <f t="shared" si="18"/>
        <v>3</v>
      </c>
      <c r="M76" s="9">
        <f t="shared" si="19"/>
        <v>11</v>
      </c>
      <c r="N76" s="9">
        <f t="shared" si="20"/>
        <v>8</v>
      </c>
      <c r="O76" s="9">
        <f t="shared" si="21"/>
        <v>14</v>
      </c>
      <c r="P76" s="9">
        <f t="shared" si="22"/>
        <v>8</v>
      </c>
      <c r="Q76" s="9">
        <f t="shared" si="23"/>
        <v>2</v>
      </c>
      <c r="R76" s="9">
        <f t="shared" si="24"/>
        <v>0</v>
      </c>
      <c r="S76" s="9">
        <f t="shared" si="25"/>
        <v>3</v>
      </c>
      <c r="T76" s="9">
        <f t="shared" si="26"/>
        <v>0</v>
      </c>
      <c r="U76" s="14" t="str">
        <f t="shared" si="13"/>
        <v>Dittebrand, M</v>
      </c>
      <c r="V76" s="14" t="str">
        <f t="shared" si="14"/>
        <v>1.MSC Wesel</v>
      </c>
      <c r="W76" s="3"/>
    </row>
    <row r="77" spans="1:23" ht="12.75">
      <c r="A77" s="2" t="s">
        <v>253</v>
      </c>
      <c r="B77" s="2" t="s">
        <v>255</v>
      </c>
      <c r="C77" s="4" t="s">
        <v>160</v>
      </c>
      <c r="D77" s="5">
        <v>93</v>
      </c>
      <c r="E77" s="5">
        <v>97</v>
      </c>
      <c r="F77" s="6">
        <v>91</v>
      </c>
      <c r="G77" s="6">
        <v>86</v>
      </c>
      <c r="H77" s="6">
        <v>90</v>
      </c>
      <c r="I77" s="6">
        <v>100</v>
      </c>
      <c r="J77" s="33"/>
      <c r="K77" s="9">
        <f t="shared" si="17"/>
        <v>16</v>
      </c>
      <c r="L77" s="9">
        <f t="shared" si="18"/>
        <v>3</v>
      </c>
      <c r="M77" s="9">
        <f t="shared" si="19"/>
        <v>11</v>
      </c>
      <c r="N77" s="9">
        <f t="shared" si="20"/>
        <v>8</v>
      </c>
      <c r="O77" s="9">
        <f t="shared" si="21"/>
        <v>14</v>
      </c>
      <c r="P77" s="9">
        <f t="shared" si="22"/>
        <v>8</v>
      </c>
      <c r="Q77" s="9">
        <f t="shared" si="23"/>
        <v>3</v>
      </c>
      <c r="R77" s="9">
        <f t="shared" si="24"/>
        <v>0</v>
      </c>
      <c r="S77" s="9">
        <f t="shared" si="25"/>
        <v>3</v>
      </c>
      <c r="T77" s="9">
        <f t="shared" si="26"/>
        <v>0</v>
      </c>
      <c r="U77" s="14" t="str">
        <f aca="true" t="shared" si="27" ref="U77:U87">A77</f>
        <v>Wolf, C</v>
      </c>
      <c r="V77" s="14" t="str">
        <f aca="true" t="shared" si="28" ref="V77:V87">B77</f>
        <v>1.MSC Wesel</v>
      </c>
      <c r="W77" s="3"/>
    </row>
    <row r="78" spans="1:23" ht="12.75">
      <c r="A78" s="2" t="s">
        <v>254</v>
      </c>
      <c r="B78" s="2" t="s">
        <v>255</v>
      </c>
      <c r="C78" s="4" t="s">
        <v>158</v>
      </c>
      <c r="D78" s="5">
        <v>143</v>
      </c>
      <c r="E78" s="5">
        <v>121</v>
      </c>
      <c r="F78" s="6">
        <v>120</v>
      </c>
      <c r="G78" s="6">
        <v>117</v>
      </c>
      <c r="H78" s="6">
        <v>131</v>
      </c>
      <c r="I78" s="6">
        <v>117</v>
      </c>
      <c r="J78" s="33"/>
      <c r="K78" s="9">
        <f t="shared" si="17"/>
        <v>16</v>
      </c>
      <c r="L78" s="9">
        <f t="shared" si="18"/>
        <v>3</v>
      </c>
      <c r="M78" s="9">
        <f t="shared" si="19"/>
        <v>11</v>
      </c>
      <c r="N78" s="9">
        <f t="shared" si="20"/>
        <v>8</v>
      </c>
      <c r="O78" s="9">
        <f t="shared" si="21"/>
        <v>15</v>
      </c>
      <c r="P78" s="9">
        <f t="shared" si="22"/>
        <v>8</v>
      </c>
      <c r="Q78" s="9">
        <f t="shared" si="23"/>
        <v>3</v>
      </c>
      <c r="R78" s="9">
        <f t="shared" si="24"/>
        <v>0</v>
      </c>
      <c r="S78" s="9">
        <f t="shared" si="25"/>
        <v>3</v>
      </c>
      <c r="T78" s="9">
        <f t="shared" si="26"/>
        <v>0</v>
      </c>
      <c r="U78" s="14" t="str">
        <f t="shared" si="27"/>
        <v>Steger, H</v>
      </c>
      <c r="V78" s="14" t="str">
        <f t="shared" si="28"/>
        <v>1.MSC Wesel</v>
      </c>
      <c r="W78" s="3"/>
    </row>
    <row r="79" spans="1:23" ht="12.75">
      <c r="A79" s="2"/>
      <c r="B79" s="2"/>
      <c r="C79" s="4"/>
      <c r="D79" s="5"/>
      <c r="E79" s="5"/>
      <c r="F79" s="6"/>
      <c r="G79" s="6"/>
      <c r="H79" s="6"/>
      <c r="I79" s="6"/>
      <c r="J79" s="33"/>
      <c r="K79" s="9">
        <f t="shared" si="17"/>
        <v>16</v>
      </c>
      <c r="L79" s="9">
        <f t="shared" si="18"/>
        <v>3</v>
      </c>
      <c r="M79" s="9">
        <f t="shared" si="19"/>
        <v>11</v>
      </c>
      <c r="N79" s="9">
        <f t="shared" si="20"/>
        <v>8</v>
      </c>
      <c r="O79" s="9">
        <f t="shared" si="21"/>
        <v>15</v>
      </c>
      <c r="P79" s="9">
        <f t="shared" si="22"/>
        <v>8</v>
      </c>
      <c r="Q79" s="9">
        <f t="shared" si="23"/>
        <v>3</v>
      </c>
      <c r="R79" s="9">
        <f t="shared" si="24"/>
        <v>0</v>
      </c>
      <c r="S79" s="9">
        <f t="shared" si="25"/>
        <v>3</v>
      </c>
      <c r="T79" s="9">
        <f t="shared" si="26"/>
        <v>0</v>
      </c>
      <c r="U79" s="14">
        <f t="shared" si="27"/>
        <v>0</v>
      </c>
      <c r="V79" s="14">
        <f t="shared" si="28"/>
        <v>0</v>
      </c>
      <c r="W79" s="3"/>
    </row>
    <row r="80" spans="1:23" ht="12.75">
      <c r="A80" s="2"/>
      <c r="B80" s="2"/>
      <c r="C80" s="4"/>
      <c r="D80" s="5"/>
      <c r="E80" s="5"/>
      <c r="F80" s="6"/>
      <c r="G80" s="6"/>
      <c r="H80" s="6"/>
      <c r="I80" s="6"/>
      <c r="J80" s="33"/>
      <c r="K80" s="9">
        <f t="shared" si="17"/>
        <v>16</v>
      </c>
      <c r="L80" s="9">
        <f t="shared" si="18"/>
        <v>3</v>
      </c>
      <c r="M80" s="9">
        <f t="shared" si="19"/>
        <v>11</v>
      </c>
      <c r="N80" s="9">
        <f t="shared" si="20"/>
        <v>8</v>
      </c>
      <c r="O80" s="9">
        <f t="shared" si="21"/>
        <v>15</v>
      </c>
      <c r="P80" s="9">
        <f t="shared" si="22"/>
        <v>8</v>
      </c>
      <c r="Q80" s="9">
        <f t="shared" si="23"/>
        <v>3</v>
      </c>
      <c r="R80" s="9">
        <f t="shared" si="24"/>
        <v>0</v>
      </c>
      <c r="S80" s="9">
        <f t="shared" si="25"/>
        <v>3</v>
      </c>
      <c r="T80" s="9">
        <f t="shared" si="26"/>
        <v>0</v>
      </c>
      <c r="U80" s="14">
        <f t="shared" si="27"/>
        <v>0</v>
      </c>
      <c r="V80" s="14">
        <f t="shared" si="28"/>
        <v>0</v>
      </c>
      <c r="W80" s="3"/>
    </row>
    <row r="81" spans="1:23" ht="12.75">
      <c r="A81" s="2" t="s">
        <v>256</v>
      </c>
      <c r="B81" s="2" t="s">
        <v>277</v>
      </c>
      <c r="C81" s="4" t="s">
        <v>155</v>
      </c>
      <c r="D81" s="5">
        <v>99</v>
      </c>
      <c r="E81" s="5">
        <v>95</v>
      </c>
      <c r="F81" s="6">
        <v>95</v>
      </c>
      <c r="G81" s="6">
        <v>104</v>
      </c>
      <c r="H81" s="6">
        <v>86</v>
      </c>
      <c r="I81" s="6">
        <v>101</v>
      </c>
      <c r="J81" s="33"/>
      <c r="K81" s="9">
        <f t="shared" si="17"/>
        <v>16</v>
      </c>
      <c r="L81" s="9">
        <f t="shared" si="18"/>
        <v>3</v>
      </c>
      <c r="M81" s="9">
        <f t="shared" si="19"/>
        <v>11</v>
      </c>
      <c r="N81" s="9">
        <f t="shared" si="20"/>
        <v>9</v>
      </c>
      <c r="O81" s="9">
        <f t="shared" si="21"/>
        <v>15</v>
      </c>
      <c r="P81" s="9">
        <f t="shared" si="22"/>
        <v>8</v>
      </c>
      <c r="Q81" s="9">
        <f t="shared" si="23"/>
        <v>3</v>
      </c>
      <c r="R81" s="9">
        <f t="shared" si="24"/>
        <v>0</v>
      </c>
      <c r="S81" s="9">
        <f t="shared" si="25"/>
        <v>3</v>
      </c>
      <c r="T81" s="9">
        <f t="shared" si="26"/>
        <v>0</v>
      </c>
      <c r="U81" s="14" t="str">
        <f t="shared" si="27"/>
        <v>Kampmann, U</v>
      </c>
      <c r="V81" s="14" t="str">
        <f t="shared" si="28"/>
        <v>MGC Neviges</v>
      </c>
      <c r="W81" s="3"/>
    </row>
    <row r="82" spans="1:23" ht="12.75">
      <c r="A82" s="2" t="s">
        <v>264</v>
      </c>
      <c r="B82" s="2" t="s">
        <v>277</v>
      </c>
      <c r="C82" s="4" t="s">
        <v>153</v>
      </c>
      <c r="D82" s="5">
        <v>98</v>
      </c>
      <c r="E82" s="5">
        <v>95</v>
      </c>
      <c r="F82" s="6">
        <v>98</v>
      </c>
      <c r="G82" s="6">
        <v>101</v>
      </c>
      <c r="H82" s="6">
        <v>95</v>
      </c>
      <c r="I82" s="6">
        <v>92</v>
      </c>
      <c r="J82" s="33"/>
      <c r="K82" s="9">
        <f t="shared" si="17"/>
        <v>16</v>
      </c>
      <c r="L82" s="9">
        <f t="shared" si="18"/>
        <v>4</v>
      </c>
      <c r="M82" s="9">
        <f t="shared" si="19"/>
        <v>11</v>
      </c>
      <c r="N82" s="9">
        <f t="shared" si="20"/>
        <v>9</v>
      </c>
      <c r="O82" s="9">
        <f t="shared" si="21"/>
        <v>15</v>
      </c>
      <c r="P82" s="9">
        <f t="shared" si="22"/>
        <v>8</v>
      </c>
      <c r="Q82" s="9">
        <f t="shared" si="23"/>
        <v>3</v>
      </c>
      <c r="R82" s="9">
        <f t="shared" si="24"/>
        <v>0</v>
      </c>
      <c r="S82" s="9">
        <f t="shared" si="25"/>
        <v>3</v>
      </c>
      <c r="T82" s="9">
        <f t="shared" si="26"/>
        <v>0</v>
      </c>
      <c r="U82" s="14" t="str">
        <f t="shared" si="27"/>
        <v>Meike, A</v>
      </c>
      <c r="V82" s="14" t="str">
        <f t="shared" si="28"/>
        <v>MGC Neviges</v>
      </c>
      <c r="W82" s="3"/>
    </row>
    <row r="83" spans="1:23" ht="12.75">
      <c r="A83" s="2" t="s">
        <v>257</v>
      </c>
      <c r="B83" s="2" t="s">
        <v>277</v>
      </c>
      <c r="C83" s="4" t="s">
        <v>153</v>
      </c>
      <c r="D83" s="5">
        <v>114</v>
      </c>
      <c r="E83" s="5">
        <v>113</v>
      </c>
      <c r="F83" s="6">
        <v>108</v>
      </c>
      <c r="G83" s="6">
        <v>110</v>
      </c>
      <c r="H83" s="6">
        <v>106</v>
      </c>
      <c r="I83" s="6">
        <v>109</v>
      </c>
      <c r="J83" s="33"/>
      <c r="K83" s="9">
        <f t="shared" si="17"/>
        <v>16</v>
      </c>
      <c r="L83" s="9">
        <f t="shared" si="18"/>
        <v>5</v>
      </c>
      <c r="M83" s="9">
        <f t="shared" si="19"/>
        <v>11</v>
      </c>
      <c r="N83" s="9">
        <f t="shared" si="20"/>
        <v>9</v>
      </c>
      <c r="O83" s="9">
        <f t="shared" si="21"/>
        <v>15</v>
      </c>
      <c r="P83" s="9">
        <f t="shared" si="22"/>
        <v>8</v>
      </c>
      <c r="Q83" s="9">
        <f t="shared" si="23"/>
        <v>3</v>
      </c>
      <c r="R83" s="9">
        <f t="shared" si="24"/>
        <v>0</v>
      </c>
      <c r="S83" s="9">
        <f t="shared" si="25"/>
        <v>3</v>
      </c>
      <c r="T83" s="9">
        <f t="shared" si="26"/>
        <v>0</v>
      </c>
      <c r="U83" s="14" t="str">
        <f t="shared" si="27"/>
        <v>Rosemann, S</v>
      </c>
      <c r="V83" s="14" t="str">
        <f t="shared" si="28"/>
        <v>MGC Neviges</v>
      </c>
      <c r="W83" s="3"/>
    </row>
    <row r="84" spans="1:23" ht="12.75">
      <c r="A84" s="2" t="s">
        <v>263</v>
      </c>
      <c r="B84" s="2" t="s">
        <v>277</v>
      </c>
      <c r="C84" s="4" t="s">
        <v>155</v>
      </c>
      <c r="D84" s="5">
        <v>104</v>
      </c>
      <c r="E84" s="5">
        <v>106</v>
      </c>
      <c r="F84" s="6">
        <v>100</v>
      </c>
      <c r="G84" s="6"/>
      <c r="H84" s="6">
        <v>101</v>
      </c>
      <c r="I84" s="6"/>
      <c r="J84" s="33"/>
      <c r="K84" s="9">
        <f t="shared" si="17"/>
        <v>16</v>
      </c>
      <c r="L84" s="9">
        <f t="shared" si="18"/>
        <v>5</v>
      </c>
      <c r="M84" s="9">
        <f t="shared" si="19"/>
        <v>11</v>
      </c>
      <c r="N84" s="9">
        <f t="shared" si="20"/>
        <v>10</v>
      </c>
      <c r="O84" s="9">
        <f t="shared" si="21"/>
        <v>15</v>
      </c>
      <c r="P84" s="9">
        <f t="shared" si="22"/>
        <v>8</v>
      </c>
      <c r="Q84" s="9">
        <f t="shared" si="23"/>
        <v>3</v>
      </c>
      <c r="R84" s="9">
        <f t="shared" si="24"/>
        <v>0</v>
      </c>
      <c r="S84" s="9">
        <f t="shared" si="25"/>
        <v>3</v>
      </c>
      <c r="T84" s="9">
        <f t="shared" si="26"/>
        <v>0</v>
      </c>
      <c r="U84" s="14" t="str">
        <f t="shared" si="27"/>
        <v>Falterbaum, M</v>
      </c>
      <c r="V84" s="14" t="str">
        <f t="shared" si="28"/>
        <v>MGC Neviges</v>
      </c>
      <c r="W84" s="3"/>
    </row>
    <row r="85" spans="1:23" ht="12.75">
      <c r="A85" s="2" t="s">
        <v>258</v>
      </c>
      <c r="B85" s="2" t="s">
        <v>277</v>
      </c>
      <c r="C85" s="4" t="s">
        <v>155</v>
      </c>
      <c r="D85" s="5">
        <v>101</v>
      </c>
      <c r="E85" s="5">
        <v>100</v>
      </c>
      <c r="F85" s="6">
        <v>96</v>
      </c>
      <c r="G85" s="6">
        <v>107</v>
      </c>
      <c r="H85" s="6">
        <v>97</v>
      </c>
      <c r="I85" s="6">
        <v>90</v>
      </c>
      <c r="J85" s="33"/>
      <c r="K85" s="9">
        <f t="shared" si="17"/>
        <v>16</v>
      </c>
      <c r="L85" s="9">
        <f t="shared" si="18"/>
        <v>5</v>
      </c>
      <c r="M85" s="9">
        <f t="shared" si="19"/>
        <v>11</v>
      </c>
      <c r="N85" s="9">
        <f t="shared" si="20"/>
        <v>11</v>
      </c>
      <c r="O85" s="9">
        <f t="shared" si="21"/>
        <v>15</v>
      </c>
      <c r="P85" s="9">
        <f t="shared" si="22"/>
        <v>8</v>
      </c>
      <c r="Q85" s="9">
        <f t="shared" si="23"/>
        <v>3</v>
      </c>
      <c r="R85" s="9">
        <f t="shared" si="24"/>
        <v>0</v>
      </c>
      <c r="S85" s="9">
        <f t="shared" si="25"/>
        <v>3</v>
      </c>
      <c r="T85" s="9">
        <f t="shared" si="26"/>
        <v>0</v>
      </c>
      <c r="U85" s="14" t="str">
        <f t="shared" si="27"/>
        <v>Rassler, C</v>
      </c>
      <c r="V85" s="14" t="str">
        <f t="shared" si="28"/>
        <v>MGC Neviges</v>
      </c>
      <c r="W85" s="3"/>
    </row>
    <row r="86" spans="1:23" ht="12.75">
      <c r="A86" s="2" t="s">
        <v>259</v>
      </c>
      <c r="B86" s="2" t="s">
        <v>277</v>
      </c>
      <c r="C86" s="4" t="s">
        <v>155</v>
      </c>
      <c r="D86" s="5">
        <v>99</v>
      </c>
      <c r="E86" s="5">
        <v>94</v>
      </c>
      <c r="F86" s="6">
        <v>101</v>
      </c>
      <c r="G86" s="6">
        <v>96</v>
      </c>
      <c r="H86" s="6">
        <v>96</v>
      </c>
      <c r="I86" s="6">
        <v>92</v>
      </c>
      <c r="J86" s="33"/>
      <c r="K86" s="9">
        <f t="shared" si="17"/>
        <v>16</v>
      </c>
      <c r="L86" s="9">
        <f t="shared" si="18"/>
        <v>5</v>
      </c>
      <c r="M86" s="9">
        <f t="shared" si="19"/>
        <v>11</v>
      </c>
      <c r="N86" s="9">
        <f t="shared" si="20"/>
        <v>12</v>
      </c>
      <c r="O86" s="9">
        <f t="shared" si="21"/>
        <v>15</v>
      </c>
      <c r="P86" s="9">
        <f t="shared" si="22"/>
        <v>8</v>
      </c>
      <c r="Q86" s="9">
        <f t="shared" si="23"/>
        <v>3</v>
      </c>
      <c r="R86" s="9">
        <f t="shared" si="24"/>
        <v>0</v>
      </c>
      <c r="S86" s="9">
        <f t="shared" si="25"/>
        <v>3</v>
      </c>
      <c r="T86" s="9">
        <f t="shared" si="26"/>
        <v>0</v>
      </c>
      <c r="U86" s="14" t="str">
        <f t="shared" si="27"/>
        <v>Reh, M</v>
      </c>
      <c r="V86" s="14" t="str">
        <f t="shared" si="28"/>
        <v>MGC Neviges</v>
      </c>
      <c r="W86" s="3"/>
    </row>
    <row r="87" spans="1:23" ht="12.75">
      <c r="A87" s="2" t="s">
        <v>260</v>
      </c>
      <c r="B87" s="2" t="s">
        <v>277</v>
      </c>
      <c r="C87" s="4" t="s">
        <v>156</v>
      </c>
      <c r="D87" s="5">
        <v>92</v>
      </c>
      <c r="E87" s="5">
        <v>93</v>
      </c>
      <c r="F87" s="6">
        <v>98</v>
      </c>
      <c r="G87" s="6">
        <v>90</v>
      </c>
      <c r="H87" s="6">
        <v>91</v>
      </c>
      <c r="I87" s="6">
        <v>93</v>
      </c>
      <c r="J87" s="33"/>
      <c r="K87" s="9">
        <f t="shared" si="17"/>
        <v>16</v>
      </c>
      <c r="L87" s="9">
        <f t="shared" si="18"/>
        <v>5</v>
      </c>
      <c r="M87" s="9">
        <f t="shared" si="19"/>
        <v>12</v>
      </c>
      <c r="N87" s="9">
        <f t="shared" si="20"/>
        <v>12</v>
      </c>
      <c r="O87" s="9">
        <f t="shared" si="21"/>
        <v>15</v>
      </c>
      <c r="P87" s="9">
        <f t="shared" si="22"/>
        <v>8</v>
      </c>
      <c r="Q87" s="9">
        <f t="shared" si="23"/>
        <v>3</v>
      </c>
      <c r="R87" s="9">
        <f t="shared" si="24"/>
        <v>0</v>
      </c>
      <c r="S87" s="9">
        <f t="shared" si="25"/>
        <v>3</v>
      </c>
      <c r="T87" s="9">
        <f t="shared" si="26"/>
        <v>0</v>
      </c>
      <c r="U87" s="14" t="str">
        <f t="shared" si="27"/>
        <v>Herkenrath, H</v>
      </c>
      <c r="V87" s="14" t="str">
        <f t="shared" si="28"/>
        <v>MGC Neviges</v>
      </c>
      <c r="W87" s="3"/>
    </row>
    <row r="88" spans="1:23" ht="12.75">
      <c r="A88" s="2" t="s">
        <v>261</v>
      </c>
      <c r="B88" s="2" t="s">
        <v>277</v>
      </c>
      <c r="C88" s="4" t="s">
        <v>156</v>
      </c>
      <c r="D88" s="5">
        <v>105</v>
      </c>
      <c r="E88" s="5">
        <v>97</v>
      </c>
      <c r="F88" s="6">
        <v>104</v>
      </c>
      <c r="G88" s="6">
        <v>112</v>
      </c>
      <c r="H88" s="6">
        <v>97</v>
      </c>
      <c r="I88" s="6">
        <v>107</v>
      </c>
      <c r="J88" s="33"/>
      <c r="K88" s="9">
        <f t="shared" si="17"/>
        <v>16</v>
      </c>
      <c r="L88" s="9">
        <f t="shared" si="18"/>
        <v>5</v>
      </c>
      <c r="M88" s="9">
        <f t="shared" si="19"/>
        <v>13</v>
      </c>
      <c r="N88" s="9">
        <f t="shared" si="20"/>
        <v>12</v>
      </c>
      <c r="O88" s="9">
        <f t="shared" si="21"/>
        <v>15</v>
      </c>
      <c r="P88" s="9">
        <f t="shared" si="22"/>
        <v>8</v>
      </c>
      <c r="Q88" s="9">
        <f t="shared" si="23"/>
        <v>3</v>
      </c>
      <c r="R88" s="9">
        <f t="shared" si="24"/>
        <v>0</v>
      </c>
      <c r="S88" s="9">
        <f t="shared" si="25"/>
        <v>3</v>
      </c>
      <c r="T88" s="9">
        <f t="shared" si="26"/>
        <v>0</v>
      </c>
      <c r="U88" s="14" t="str">
        <f aca="true" t="shared" si="29" ref="U88:U124">A88</f>
        <v>Meike, Det</v>
      </c>
      <c r="V88" s="14" t="str">
        <f aca="true" t="shared" si="30" ref="V88:V124">B88</f>
        <v>MGC Neviges</v>
      </c>
      <c r="W88" s="3"/>
    </row>
    <row r="89" spans="1:23" ht="12.75">
      <c r="A89" s="2" t="s">
        <v>262</v>
      </c>
      <c r="B89" s="2" t="s">
        <v>277</v>
      </c>
      <c r="C89" s="4" t="s">
        <v>154</v>
      </c>
      <c r="D89" s="5">
        <v>98</v>
      </c>
      <c r="E89" s="5">
        <v>98</v>
      </c>
      <c r="F89" s="6">
        <v>98</v>
      </c>
      <c r="G89" s="6">
        <v>87</v>
      </c>
      <c r="H89" s="6">
        <v>90</v>
      </c>
      <c r="I89" s="6">
        <v>96</v>
      </c>
      <c r="J89" s="33"/>
      <c r="K89" s="9">
        <f t="shared" si="17"/>
        <v>16</v>
      </c>
      <c r="L89" s="9">
        <f t="shared" si="18"/>
        <v>5</v>
      </c>
      <c r="M89" s="9">
        <f t="shared" si="19"/>
        <v>13</v>
      </c>
      <c r="N89" s="9">
        <f t="shared" si="20"/>
        <v>12</v>
      </c>
      <c r="O89" s="9">
        <f t="shared" si="21"/>
        <v>15</v>
      </c>
      <c r="P89" s="9">
        <f t="shared" si="22"/>
        <v>8</v>
      </c>
      <c r="Q89" s="9">
        <f t="shared" si="23"/>
        <v>3</v>
      </c>
      <c r="R89" s="9">
        <f t="shared" si="24"/>
        <v>0</v>
      </c>
      <c r="S89" s="9">
        <f t="shared" si="25"/>
        <v>4</v>
      </c>
      <c r="T89" s="9">
        <f t="shared" si="26"/>
        <v>0</v>
      </c>
      <c r="U89" s="14" t="str">
        <f t="shared" si="29"/>
        <v>Meike, Den</v>
      </c>
      <c r="V89" s="14" t="str">
        <f t="shared" si="30"/>
        <v>MGC Neviges</v>
      </c>
      <c r="W89" s="3"/>
    </row>
    <row r="90" spans="1:23" ht="12.75">
      <c r="A90" s="2" t="s">
        <v>265</v>
      </c>
      <c r="B90" s="2" t="s">
        <v>277</v>
      </c>
      <c r="C90" s="4" t="s">
        <v>156</v>
      </c>
      <c r="D90" s="5">
        <v>107</v>
      </c>
      <c r="E90" s="5">
        <v>98</v>
      </c>
      <c r="F90" s="6">
        <v>97</v>
      </c>
      <c r="G90" s="6">
        <v>100</v>
      </c>
      <c r="H90" s="6">
        <v>95</v>
      </c>
      <c r="I90" s="6">
        <v>94</v>
      </c>
      <c r="J90" s="33"/>
      <c r="K90" s="9">
        <f t="shared" si="17"/>
        <v>16</v>
      </c>
      <c r="L90" s="9">
        <f t="shared" si="18"/>
        <v>5</v>
      </c>
      <c r="M90" s="9">
        <f t="shared" si="19"/>
        <v>14</v>
      </c>
      <c r="N90" s="9">
        <f t="shared" si="20"/>
        <v>12</v>
      </c>
      <c r="O90" s="9">
        <f t="shared" si="21"/>
        <v>15</v>
      </c>
      <c r="P90" s="9">
        <f t="shared" si="22"/>
        <v>8</v>
      </c>
      <c r="Q90" s="9">
        <f t="shared" si="23"/>
        <v>3</v>
      </c>
      <c r="R90" s="9">
        <f t="shared" si="24"/>
        <v>0</v>
      </c>
      <c r="S90" s="9">
        <f t="shared" si="25"/>
        <v>4</v>
      </c>
      <c r="T90" s="9">
        <f t="shared" si="26"/>
        <v>0</v>
      </c>
      <c r="U90" s="14" t="str">
        <f t="shared" si="29"/>
        <v>Kuhl, D</v>
      </c>
      <c r="V90" s="14" t="str">
        <f t="shared" si="30"/>
        <v>MGC Neviges</v>
      </c>
      <c r="W90" s="3"/>
    </row>
    <row r="91" spans="1:23" ht="12.75">
      <c r="A91" s="2" t="s">
        <v>266</v>
      </c>
      <c r="B91" s="2" t="s">
        <v>277</v>
      </c>
      <c r="C91" s="4" t="s">
        <v>156</v>
      </c>
      <c r="D91" s="5">
        <v>102</v>
      </c>
      <c r="E91" s="5">
        <v>110</v>
      </c>
      <c r="F91" s="6">
        <v>100</v>
      </c>
      <c r="G91" s="6"/>
      <c r="H91" s="6"/>
      <c r="I91" s="6"/>
      <c r="J91" s="33"/>
      <c r="K91" s="9">
        <f t="shared" si="17"/>
        <v>16</v>
      </c>
      <c r="L91" s="9">
        <f t="shared" si="18"/>
        <v>5</v>
      </c>
      <c r="M91" s="9">
        <f t="shared" si="19"/>
        <v>15</v>
      </c>
      <c r="N91" s="9">
        <f t="shared" si="20"/>
        <v>12</v>
      </c>
      <c r="O91" s="9">
        <f t="shared" si="21"/>
        <v>15</v>
      </c>
      <c r="P91" s="9">
        <f t="shared" si="22"/>
        <v>8</v>
      </c>
      <c r="Q91" s="9">
        <f t="shared" si="23"/>
        <v>3</v>
      </c>
      <c r="R91" s="9">
        <f t="shared" si="24"/>
        <v>0</v>
      </c>
      <c r="S91" s="9">
        <f t="shared" si="25"/>
        <v>4</v>
      </c>
      <c r="T91" s="9">
        <f t="shared" si="26"/>
        <v>0</v>
      </c>
      <c r="U91" s="14" t="str">
        <f t="shared" si="29"/>
        <v>Falterbaum, J</v>
      </c>
      <c r="V91" s="14" t="str">
        <f t="shared" si="30"/>
        <v>MGC Neviges</v>
      </c>
      <c r="W91" s="3"/>
    </row>
    <row r="92" spans="1:23" ht="12.75">
      <c r="A92" s="2" t="s">
        <v>267</v>
      </c>
      <c r="B92" s="2" t="s">
        <v>277</v>
      </c>
      <c r="C92" s="4" t="s">
        <v>156</v>
      </c>
      <c r="D92" s="5">
        <v>114</v>
      </c>
      <c r="E92" s="5">
        <v>92</v>
      </c>
      <c r="F92" s="6">
        <v>95</v>
      </c>
      <c r="G92" s="6">
        <v>105</v>
      </c>
      <c r="H92" s="6">
        <v>86</v>
      </c>
      <c r="I92" s="6">
        <v>97</v>
      </c>
      <c r="J92" s="33"/>
      <c r="K92" s="9">
        <f t="shared" si="17"/>
        <v>16</v>
      </c>
      <c r="L92" s="9">
        <f t="shared" si="18"/>
        <v>5</v>
      </c>
      <c r="M92" s="9">
        <f t="shared" si="19"/>
        <v>16</v>
      </c>
      <c r="N92" s="9">
        <f t="shared" si="20"/>
        <v>12</v>
      </c>
      <c r="O92" s="9">
        <f t="shared" si="21"/>
        <v>15</v>
      </c>
      <c r="P92" s="9">
        <f t="shared" si="22"/>
        <v>8</v>
      </c>
      <c r="Q92" s="9">
        <f t="shared" si="23"/>
        <v>3</v>
      </c>
      <c r="R92" s="9">
        <f t="shared" si="24"/>
        <v>0</v>
      </c>
      <c r="S92" s="9">
        <f t="shared" si="25"/>
        <v>4</v>
      </c>
      <c r="T92" s="9">
        <f t="shared" si="26"/>
        <v>0</v>
      </c>
      <c r="U92" s="14" t="str">
        <f t="shared" si="29"/>
        <v>Reh, B</v>
      </c>
      <c r="V92" s="14" t="str">
        <f t="shared" si="30"/>
        <v>MGC Neviges</v>
      </c>
      <c r="W92" s="3"/>
    </row>
    <row r="93" spans="1:23" ht="12.75">
      <c r="A93" s="2" t="s">
        <v>268</v>
      </c>
      <c r="B93" s="2" t="s">
        <v>277</v>
      </c>
      <c r="C93" s="4" t="s">
        <v>156</v>
      </c>
      <c r="D93" s="5">
        <v>105</v>
      </c>
      <c r="E93" s="5">
        <v>95</v>
      </c>
      <c r="F93" s="6">
        <v>90</v>
      </c>
      <c r="G93" s="6">
        <v>97</v>
      </c>
      <c r="H93" s="6">
        <v>86</v>
      </c>
      <c r="I93" s="6"/>
      <c r="J93" s="33"/>
      <c r="K93" s="9">
        <f t="shared" si="17"/>
        <v>16</v>
      </c>
      <c r="L93" s="9">
        <f t="shared" si="18"/>
        <v>5</v>
      </c>
      <c r="M93" s="9">
        <f t="shared" si="19"/>
        <v>17</v>
      </c>
      <c r="N93" s="9">
        <f t="shared" si="20"/>
        <v>12</v>
      </c>
      <c r="O93" s="9">
        <f t="shared" si="21"/>
        <v>15</v>
      </c>
      <c r="P93" s="9">
        <f t="shared" si="22"/>
        <v>8</v>
      </c>
      <c r="Q93" s="9">
        <f t="shared" si="23"/>
        <v>3</v>
      </c>
      <c r="R93" s="9">
        <f t="shared" si="24"/>
        <v>0</v>
      </c>
      <c r="S93" s="9">
        <f t="shared" si="25"/>
        <v>4</v>
      </c>
      <c r="T93" s="9">
        <f t="shared" si="26"/>
        <v>0</v>
      </c>
      <c r="U93" s="14" t="str">
        <f t="shared" si="29"/>
        <v>Tockner, F</v>
      </c>
      <c r="V93" s="14" t="str">
        <f t="shared" si="30"/>
        <v>MGC Neviges</v>
      </c>
      <c r="W93" s="3"/>
    </row>
    <row r="94" spans="1:23" ht="12.75">
      <c r="A94" s="2" t="s">
        <v>269</v>
      </c>
      <c r="B94" s="2" t="s">
        <v>277</v>
      </c>
      <c r="C94" s="4" t="s">
        <v>157</v>
      </c>
      <c r="D94" s="5">
        <v>116</v>
      </c>
      <c r="E94" s="5">
        <v>112</v>
      </c>
      <c r="F94" s="6">
        <v>99</v>
      </c>
      <c r="G94" s="6">
        <v>102</v>
      </c>
      <c r="H94" s="6">
        <v>96</v>
      </c>
      <c r="I94" s="6">
        <v>100</v>
      </c>
      <c r="J94" s="33"/>
      <c r="K94" s="9">
        <f t="shared" si="17"/>
        <v>17</v>
      </c>
      <c r="L94" s="9">
        <f t="shared" si="18"/>
        <v>5</v>
      </c>
      <c r="M94" s="9">
        <f t="shared" si="19"/>
        <v>17</v>
      </c>
      <c r="N94" s="9">
        <f t="shared" si="20"/>
        <v>12</v>
      </c>
      <c r="O94" s="9">
        <f t="shared" si="21"/>
        <v>15</v>
      </c>
      <c r="P94" s="9">
        <f t="shared" si="22"/>
        <v>8</v>
      </c>
      <c r="Q94" s="9">
        <f t="shared" si="23"/>
        <v>3</v>
      </c>
      <c r="R94" s="9">
        <f t="shared" si="24"/>
        <v>0</v>
      </c>
      <c r="S94" s="9">
        <f t="shared" si="25"/>
        <v>4</v>
      </c>
      <c r="T94" s="9">
        <f t="shared" si="26"/>
        <v>0</v>
      </c>
      <c r="U94" s="14" t="str">
        <f aca="true" t="shared" si="31" ref="U94:V98">A94</f>
        <v>Rosemann, A</v>
      </c>
      <c r="V94" s="14" t="str">
        <f t="shared" si="31"/>
        <v>MGC Neviges</v>
      </c>
      <c r="W94" s="3"/>
    </row>
    <row r="95" spans="1:23" ht="12.75">
      <c r="A95" s="2" t="s">
        <v>270</v>
      </c>
      <c r="B95" s="2" t="s">
        <v>277</v>
      </c>
      <c r="C95" s="4" t="s">
        <v>157</v>
      </c>
      <c r="D95" s="5">
        <v>105</v>
      </c>
      <c r="E95" s="5">
        <v>99</v>
      </c>
      <c r="F95" s="6">
        <v>91</v>
      </c>
      <c r="G95" s="6">
        <v>106</v>
      </c>
      <c r="H95" s="6">
        <v>87</v>
      </c>
      <c r="I95" s="6">
        <v>94</v>
      </c>
      <c r="J95" s="33"/>
      <c r="K95" s="9">
        <f t="shared" si="17"/>
        <v>18</v>
      </c>
      <c r="L95" s="9">
        <f t="shared" si="18"/>
        <v>5</v>
      </c>
      <c r="M95" s="9">
        <f t="shared" si="19"/>
        <v>17</v>
      </c>
      <c r="N95" s="9">
        <f t="shared" si="20"/>
        <v>12</v>
      </c>
      <c r="O95" s="9">
        <f t="shared" si="21"/>
        <v>15</v>
      </c>
      <c r="P95" s="9">
        <f t="shared" si="22"/>
        <v>8</v>
      </c>
      <c r="Q95" s="9">
        <f t="shared" si="23"/>
        <v>3</v>
      </c>
      <c r="R95" s="9">
        <f t="shared" si="24"/>
        <v>0</v>
      </c>
      <c r="S95" s="9">
        <f t="shared" si="25"/>
        <v>4</v>
      </c>
      <c r="T95" s="9">
        <f t="shared" si="26"/>
        <v>0</v>
      </c>
      <c r="U95" s="14" t="str">
        <f t="shared" si="31"/>
        <v>Dehne, J</v>
      </c>
      <c r="V95" s="14" t="str">
        <f t="shared" si="31"/>
        <v>MGC Neviges</v>
      </c>
      <c r="W95" s="3"/>
    </row>
    <row r="96" spans="1:23" ht="12.75">
      <c r="A96" s="2" t="s">
        <v>271</v>
      </c>
      <c r="B96" s="2" t="s">
        <v>277</v>
      </c>
      <c r="C96" s="4" t="s">
        <v>157</v>
      </c>
      <c r="D96" s="5">
        <v>111</v>
      </c>
      <c r="E96" s="5">
        <v>103</v>
      </c>
      <c r="F96" s="6">
        <v>90</v>
      </c>
      <c r="G96" s="6">
        <v>95</v>
      </c>
      <c r="H96" s="6">
        <v>95</v>
      </c>
      <c r="I96" s="6">
        <v>102</v>
      </c>
      <c r="J96" s="33"/>
      <c r="K96" s="9">
        <f t="shared" si="17"/>
        <v>19</v>
      </c>
      <c r="L96" s="9">
        <f t="shared" si="18"/>
        <v>5</v>
      </c>
      <c r="M96" s="9">
        <f t="shared" si="19"/>
        <v>17</v>
      </c>
      <c r="N96" s="9">
        <f t="shared" si="20"/>
        <v>12</v>
      </c>
      <c r="O96" s="9">
        <f t="shared" si="21"/>
        <v>15</v>
      </c>
      <c r="P96" s="9">
        <f t="shared" si="22"/>
        <v>8</v>
      </c>
      <c r="Q96" s="9">
        <f t="shared" si="23"/>
        <v>3</v>
      </c>
      <c r="R96" s="9">
        <f t="shared" si="24"/>
        <v>0</v>
      </c>
      <c r="S96" s="9">
        <f t="shared" si="25"/>
        <v>4</v>
      </c>
      <c r="T96" s="9">
        <f t="shared" si="26"/>
        <v>0</v>
      </c>
      <c r="U96" s="14" t="str">
        <f t="shared" si="31"/>
        <v>Schneider, M</v>
      </c>
      <c r="V96" s="14" t="str">
        <f t="shared" si="31"/>
        <v>MGC Neviges</v>
      </c>
      <c r="W96" s="3"/>
    </row>
    <row r="97" spans="1:23" ht="12.75">
      <c r="A97" s="2" t="s">
        <v>272</v>
      </c>
      <c r="B97" s="2" t="s">
        <v>277</v>
      </c>
      <c r="C97" s="4" t="s">
        <v>156</v>
      </c>
      <c r="D97" s="5">
        <v>93</v>
      </c>
      <c r="E97" s="5">
        <v>108</v>
      </c>
      <c r="F97" s="6"/>
      <c r="G97" s="6">
        <v>102</v>
      </c>
      <c r="H97" s="6">
        <v>93</v>
      </c>
      <c r="I97" s="6">
        <v>98</v>
      </c>
      <c r="J97" s="33"/>
      <c r="K97" s="9">
        <f t="shared" si="17"/>
        <v>19</v>
      </c>
      <c r="L97" s="9">
        <f t="shared" si="18"/>
        <v>5</v>
      </c>
      <c r="M97" s="9">
        <f t="shared" si="19"/>
        <v>18</v>
      </c>
      <c r="N97" s="9">
        <f t="shared" si="20"/>
        <v>12</v>
      </c>
      <c r="O97" s="9">
        <f t="shared" si="21"/>
        <v>15</v>
      </c>
      <c r="P97" s="9">
        <f t="shared" si="22"/>
        <v>8</v>
      </c>
      <c r="Q97" s="9">
        <f t="shared" si="23"/>
        <v>3</v>
      </c>
      <c r="R97" s="9">
        <f t="shared" si="24"/>
        <v>0</v>
      </c>
      <c r="S97" s="9">
        <f t="shared" si="25"/>
        <v>4</v>
      </c>
      <c r="T97" s="9">
        <f t="shared" si="26"/>
        <v>0</v>
      </c>
      <c r="U97" s="14" t="str">
        <f t="shared" si="31"/>
        <v>Rassler, G</v>
      </c>
      <c r="V97" s="14" t="str">
        <f t="shared" si="31"/>
        <v>MGC Neviges</v>
      </c>
      <c r="W97" s="3"/>
    </row>
    <row r="98" spans="1:23" ht="12.75">
      <c r="A98" s="2" t="s">
        <v>273</v>
      </c>
      <c r="B98" s="2" t="s">
        <v>277</v>
      </c>
      <c r="C98" s="4" t="s">
        <v>158</v>
      </c>
      <c r="D98" s="5">
        <v>110</v>
      </c>
      <c r="E98" s="5">
        <v>91</v>
      </c>
      <c r="F98" s="6">
        <v>91</v>
      </c>
      <c r="G98" s="6">
        <v>106</v>
      </c>
      <c r="H98" s="6">
        <v>85</v>
      </c>
      <c r="I98" s="6">
        <v>106</v>
      </c>
      <c r="J98" s="33"/>
      <c r="K98" s="9">
        <f t="shared" si="17"/>
        <v>19</v>
      </c>
      <c r="L98" s="9">
        <f t="shared" si="18"/>
        <v>5</v>
      </c>
      <c r="M98" s="9">
        <f t="shared" si="19"/>
        <v>18</v>
      </c>
      <c r="N98" s="9">
        <f t="shared" si="20"/>
        <v>12</v>
      </c>
      <c r="O98" s="9">
        <f t="shared" si="21"/>
        <v>16</v>
      </c>
      <c r="P98" s="9">
        <f t="shared" si="22"/>
        <v>8</v>
      </c>
      <c r="Q98" s="9">
        <f t="shared" si="23"/>
        <v>3</v>
      </c>
      <c r="R98" s="9">
        <f t="shared" si="24"/>
        <v>0</v>
      </c>
      <c r="S98" s="9">
        <f t="shared" si="25"/>
        <v>4</v>
      </c>
      <c r="T98" s="9">
        <f t="shared" si="26"/>
        <v>0</v>
      </c>
      <c r="U98" s="14" t="str">
        <f t="shared" si="31"/>
        <v>Metzner, H</v>
      </c>
      <c r="V98" s="14" t="str">
        <f t="shared" si="31"/>
        <v>MGC Neviges</v>
      </c>
      <c r="W98" s="3"/>
    </row>
    <row r="99" spans="1:23" ht="12.75">
      <c r="A99" s="2" t="s">
        <v>274</v>
      </c>
      <c r="B99" s="2" t="s">
        <v>277</v>
      </c>
      <c r="C99" s="4" t="s">
        <v>157</v>
      </c>
      <c r="D99" s="5">
        <v>123</v>
      </c>
      <c r="E99" s="5">
        <v>109</v>
      </c>
      <c r="F99" s="6">
        <v>108</v>
      </c>
      <c r="G99" s="6"/>
      <c r="H99" s="6">
        <v>111</v>
      </c>
      <c r="I99" s="6">
        <v>132</v>
      </c>
      <c r="J99" s="33"/>
      <c r="K99" s="9">
        <f t="shared" si="17"/>
        <v>20</v>
      </c>
      <c r="L99" s="9">
        <f t="shared" si="18"/>
        <v>5</v>
      </c>
      <c r="M99" s="9">
        <f t="shared" si="19"/>
        <v>18</v>
      </c>
      <c r="N99" s="9">
        <f t="shared" si="20"/>
        <v>12</v>
      </c>
      <c r="O99" s="9">
        <f t="shared" si="21"/>
        <v>16</v>
      </c>
      <c r="P99" s="9">
        <f t="shared" si="22"/>
        <v>8</v>
      </c>
      <c r="Q99" s="9">
        <f t="shared" si="23"/>
        <v>3</v>
      </c>
      <c r="R99" s="9">
        <f t="shared" si="24"/>
        <v>0</v>
      </c>
      <c r="S99" s="9">
        <f t="shared" si="25"/>
        <v>4</v>
      </c>
      <c r="T99" s="9">
        <f t="shared" si="26"/>
        <v>0</v>
      </c>
      <c r="U99" s="14" t="str">
        <f t="shared" si="29"/>
        <v>Jaeger, B</v>
      </c>
      <c r="V99" s="14" t="str">
        <f t="shared" si="30"/>
        <v>MGC Neviges</v>
      </c>
      <c r="W99" s="3"/>
    </row>
    <row r="100" spans="1:23" ht="12.75">
      <c r="A100" s="2" t="s">
        <v>275</v>
      </c>
      <c r="B100" s="2" t="s">
        <v>277</v>
      </c>
      <c r="C100" s="4" t="s">
        <v>159</v>
      </c>
      <c r="D100" s="5">
        <v>114</v>
      </c>
      <c r="E100" s="5">
        <v>104</v>
      </c>
      <c r="F100" s="6">
        <v>111</v>
      </c>
      <c r="G100" s="6">
        <v>111</v>
      </c>
      <c r="H100" s="6">
        <v>106</v>
      </c>
      <c r="I100" s="6">
        <v>103</v>
      </c>
      <c r="J100" s="33"/>
      <c r="K100" s="9">
        <f t="shared" si="17"/>
        <v>20</v>
      </c>
      <c r="L100" s="9">
        <f t="shared" si="18"/>
        <v>5</v>
      </c>
      <c r="M100" s="9">
        <f t="shared" si="19"/>
        <v>18</v>
      </c>
      <c r="N100" s="9">
        <f t="shared" si="20"/>
        <v>12</v>
      </c>
      <c r="O100" s="9">
        <f t="shared" si="21"/>
        <v>16</v>
      </c>
      <c r="P100" s="9">
        <f t="shared" si="22"/>
        <v>9</v>
      </c>
      <c r="Q100" s="9">
        <f t="shared" si="23"/>
        <v>3</v>
      </c>
      <c r="R100" s="9">
        <f t="shared" si="24"/>
        <v>0</v>
      </c>
      <c r="S100" s="9">
        <f t="shared" si="25"/>
        <v>4</v>
      </c>
      <c r="T100" s="9">
        <f t="shared" si="26"/>
        <v>0</v>
      </c>
      <c r="U100" s="14" t="str">
        <f t="shared" si="29"/>
        <v>Kuhl, M</v>
      </c>
      <c r="V100" s="14" t="str">
        <f t="shared" si="30"/>
        <v>MGC Neviges</v>
      </c>
      <c r="W100" s="3"/>
    </row>
    <row r="101" spans="1:23" ht="12.75">
      <c r="A101" s="2" t="s">
        <v>276</v>
      </c>
      <c r="B101" s="2" t="s">
        <v>277</v>
      </c>
      <c r="C101" s="4" t="s">
        <v>159</v>
      </c>
      <c r="D101" s="5">
        <v>132</v>
      </c>
      <c r="E101" s="5">
        <v>121</v>
      </c>
      <c r="F101" s="6"/>
      <c r="G101" s="6"/>
      <c r="H101" s="6"/>
      <c r="I101" s="6"/>
      <c r="J101" s="33"/>
      <c r="K101" s="9">
        <f t="shared" si="17"/>
        <v>20</v>
      </c>
      <c r="L101" s="9">
        <f t="shared" si="18"/>
        <v>5</v>
      </c>
      <c r="M101" s="9">
        <f t="shared" si="19"/>
        <v>18</v>
      </c>
      <c r="N101" s="9">
        <f t="shared" si="20"/>
        <v>12</v>
      </c>
      <c r="O101" s="9">
        <f t="shared" si="21"/>
        <v>16</v>
      </c>
      <c r="P101" s="9">
        <f t="shared" si="22"/>
        <v>10</v>
      </c>
      <c r="Q101" s="9">
        <f t="shared" si="23"/>
        <v>3</v>
      </c>
      <c r="R101" s="9">
        <f t="shared" si="24"/>
        <v>0</v>
      </c>
      <c r="S101" s="9">
        <f t="shared" si="25"/>
        <v>4</v>
      </c>
      <c r="T101" s="9">
        <f t="shared" si="26"/>
        <v>0</v>
      </c>
      <c r="U101" s="14" t="str">
        <f t="shared" si="29"/>
        <v>Tracogna, H</v>
      </c>
      <c r="V101" s="14" t="str">
        <f t="shared" si="30"/>
        <v>MGC Neviges</v>
      </c>
      <c r="W101" s="3"/>
    </row>
    <row r="102" spans="1:23" ht="12.75">
      <c r="A102" s="2"/>
      <c r="B102" s="2"/>
      <c r="C102" s="4"/>
      <c r="D102" s="5"/>
      <c r="E102" s="5"/>
      <c r="F102" s="6"/>
      <c r="G102" s="6"/>
      <c r="H102" s="6"/>
      <c r="I102" s="6"/>
      <c r="J102" s="33"/>
      <c r="K102" s="9">
        <f t="shared" si="17"/>
        <v>20</v>
      </c>
      <c r="L102" s="9">
        <f t="shared" si="18"/>
        <v>5</v>
      </c>
      <c r="M102" s="9">
        <f t="shared" si="19"/>
        <v>18</v>
      </c>
      <c r="N102" s="9">
        <f t="shared" si="20"/>
        <v>12</v>
      </c>
      <c r="O102" s="9">
        <f t="shared" si="21"/>
        <v>16</v>
      </c>
      <c r="P102" s="9">
        <f t="shared" si="22"/>
        <v>10</v>
      </c>
      <c r="Q102" s="9">
        <f t="shared" si="23"/>
        <v>3</v>
      </c>
      <c r="R102" s="9">
        <f t="shared" si="24"/>
        <v>0</v>
      </c>
      <c r="S102" s="9">
        <f t="shared" si="25"/>
        <v>4</v>
      </c>
      <c r="T102" s="9">
        <f t="shared" si="26"/>
        <v>0</v>
      </c>
      <c r="U102" s="14">
        <f t="shared" si="29"/>
        <v>0</v>
      </c>
      <c r="V102" s="14">
        <f t="shared" si="30"/>
        <v>0</v>
      </c>
      <c r="W102" s="3"/>
    </row>
    <row r="103" spans="1:23" ht="12.75">
      <c r="A103" s="2"/>
      <c r="B103" s="2"/>
      <c r="C103" s="4"/>
      <c r="D103" s="5"/>
      <c r="E103" s="5"/>
      <c r="F103" s="6"/>
      <c r="G103" s="6"/>
      <c r="H103" s="6"/>
      <c r="I103" s="6"/>
      <c r="J103" s="33"/>
      <c r="K103" s="9">
        <f t="shared" si="17"/>
        <v>20</v>
      </c>
      <c r="L103" s="9">
        <f t="shared" si="18"/>
        <v>5</v>
      </c>
      <c r="M103" s="9">
        <f t="shared" si="19"/>
        <v>18</v>
      </c>
      <c r="N103" s="9">
        <f t="shared" si="20"/>
        <v>12</v>
      </c>
      <c r="O103" s="9">
        <f t="shared" si="21"/>
        <v>16</v>
      </c>
      <c r="P103" s="9">
        <f t="shared" si="22"/>
        <v>10</v>
      </c>
      <c r="Q103" s="9">
        <f t="shared" si="23"/>
        <v>3</v>
      </c>
      <c r="R103" s="9">
        <f t="shared" si="24"/>
        <v>0</v>
      </c>
      <c r="S103" s="9">
        <f t="shared" si="25"/>
        <v>4</v>
      </c>
      <c r="T103" s="9">
        <f t="shared" si="26"/>
        <v>0</v>
      </c>
      <c r="U103" s="14">
        <f t="shared" si="29"/>
        <v>0</v>
      </c>
      <c r="V103" s="14">
        <f t="shared" si="30"/>
        <v>0</v>
      </c>
      <c r="W103" s="3"/>
    </row>
    <row r="104" spans="1:23" ht="12.75">
      <c r="A104" s="2" t="s">
        <v>278</v>
      </c>
      <c r="B104" s="2" t="s">
        <v>290</v>
      </c>
      <c r="C104" s="4" t="s">
        <v>160</v>
      </c>
      <c r="D104" s="5">
        <v>107</v>
      </c>
      <c r="E104" s="5">
        <v>96</v>
      </c>
      <c r="F104" s="6">
        <v>91</v>
      </c>
      <c r="G104" s="6">
        <v>94</v>
      </c>
      <c r="H104" s="6">
        <v>102</v>
      </c>
      <c r="I104" s="6">
        <v>92</v>
      </c>
      <c r="J104" s="33"/>
      <c r="K104" s="9">
        <f t="shared" si="17"/>
        <v>20</v>
      </c>
      <c r="L104" s="9">
        <f t="shared" si="18"/>
        <v>5</v>
      </c>
      <c r="M104" s="9">
        <f t="shared" si="19"/>
        <v>18</v>
      </c>
      <c r="N104" s="9">
        <f t="shared" si="20"/>
        <v>12</v>
      </c>
      <c r="O104" s="9">
        <f t="shared" si="21"/>
        <v>16</v>
      </c>
      <c r="P104" s="9">
        <f t="shared" si="22"/>
        <v>10</v>
      </c>
      <c r="Q104" s="9">
        <f t="shared" si="23"/>
        <v>4</v>
      </c>
      <c r="R104" s="9">
        <f t="shared" si="24"/>
        <v>0</v>
      </c>
      <c r="S104" s="9">
        <f t="shared" si="25"/>
        <v>4</v>
      </c>
      <c r="T104" s="9">
        <f t="shared" si="26"/>
        <v>0</v>
      </c>
      <c r="U104" s="14" t="str">
        <f t="shared" si="29"/>
        <v>Jörissen, T</v>
      </c>
      <c r="V104" s="14" t="str">
        <f t="shared" si="30"/>
        <v>BGC Uerdingen</v>
      </c>
      <c r="W104" s="3"/>
    </row>
    <row r="105" spans="1:23" ht="12.75">
      <c r="A105" s="2" t="s">
        <v>284</v>
      </c>
      <c r="B105" s="2" t="s">
        <v>290</v>
      </c>
      <c r="C105" s="4" t="s">
        <v>157</v>
      </c>
      <c r="D105" s="5">
        <v>122</v>
      </c>
      <c r="E105" s="5">
        <v>106</v>
      </c>
      <c r="F105" s="6"/>
      <c r="G105" s="6"/>
      <c r="H105" s="6"/>
      <c r="I105" s="6"/>
      <c r="J105" s="33"/>
      <c r="K105" s="9">
        <f t="shared" si="17"/>
        <v>21</v>
      </c>
      <c r="L105" s="9">
        <f t="shared" si="18"/>
        <v>5</v>
      </c>
      <c r="M105" s="9">
        <f t="shared" si="19"/>
        <v>18</v>
      </c>
      <c r="N105" s="9">
        <f t="shared" si="20"/>
        <v>12</v>
      </c>
      <c r="O105" s="9">
        <f t="shared" si="21"/>
        <v>16</v>
      </c>
      <c r="P105" s="9">
        <f t="shared" si="22"/>
        <v>10</v>
      </c>
      <c r="Q105" s="9">
        <f t="shared" si="23"/>
        <v>4</v>
      </c>
      <c r="R105" s="9">
        <f t="shared" si="24"/>
        <v>0</v>
      </c>
      <c r="S105" s="9">
        <f t="shared" si="25"/>
        <v>4</v>
      </c>
      <c r="T105" s="9">
        <f t="shared" si="26"/>
        <v>0</v>
      </c>
      <c r="U105" s="14" t="str">
        <f t="shared" si="29"/>
        <v>Pohlig, G</v>
      </c>
      <c r="V105" s="14" t="str">
        <f t="shared" si="30"/>
        <v>BGC Uerdingen</v>
      </c>
      <c r="W105" s="3"/>
    </row>
    <row r="106" spans="1:23" ht="12.75">
      <c r="A106" s="2" t="s">
        <v>279</v>
      </c>
      <c r="B106" s="2" t="s">
        <v>290</v>
      </c>
      <c r="C106" s="4" t="s">
        <v>157</v>
      </c>
      <c r="D106" s="5">
        <v>104</v>
      </c>
      <c r="E106" s="5"/>
      <c r="F106" s="6">
        <v>103</v>
      </c>
      <c r="G106" s="6">
        <v>100</v>
      </c>
      <c r="H106" s="6">
        <v>102</v>
      </c>
      <c r="I106" s="6">
        <v>105</v>
      </c>
      <c r="J106" s="33"/>
      <c r="K106" s="9">
        <f t="shared" si="17"/>
        <v>22</v>
      </c>
      <c r="L106" s="9">
        <f t="shared" si="18"/>
        <v>5</v>
      </c>
      <c r="M106" s="9">
        <f t="shared" si="19"/>
        <v>18</v>
      </c>
      <c r="N106" s="9">
        <f t="shared" si="20"/>
        <v>12</v>
      </c>
      <c r="O106" s="9">
        <f t="shared" si="21"/>
        <v>16</v>
      </c>
      <c r="P106" s="9">
        <f t="shared" si="22"/>
        <v>10</v>
      </c>
      <c r="Q106" s="9">
        <f t="shared" si="23"/>
        <v>4</v>
      </c>
      <c r="R106" s="9">
        <f t="shared" si="24"/>
        <v>0</v>
      </c>
      <c r="S106" s="9">
        <f t="shared" si="25"/>
        <v>4</v>
      </c>
      <c r="T106" s="9">
        <f t="shared" si="26"/>
        <v>0</v>
      </c>
      <c r="U106" s="14" t="str">
        <f t="shared" si="29"/>
        <v>Hegers, S</v>
      </c>
      <c r="V106" s="14" t="str">
        <f t="shared" si="30"/>
        <v>BGC Uerdingen</v>
      </c>
      <c r="W106" s="3"/>
    </row>
    <row r="107" spans="1:23" ht="12.75">
      <c r="A107" s="2" t="s">
        <v>280</v>
      </c>
      <c r="B107" s="2" t="s">
        <v>290</v>
      </c>
      <c r="C107" s="4" t="s">
        <v>157</v>
      </c>
      <c r="D107" s="5">
        <v>98</v>
      </c>
      <c r="E107" s="5">
        <v>98</v>
      </c>
      <c r="F107" s="6">
        <v>108</v>
      </c>
      <c r="G107" s="6">
        <v>87</v>
      </c>
      <c r="H107" s="6">
        <v>101</v>
      </c>
      <c r="I107" s="6">
        <v>106</v>
      </c>
      <c r="J107" s="33"/>
      <c r="K107" s="9">
        <f t="shared" si="17"/>
        <v>23</v>
      </c>
      <c r="L107" s="9">
        <f t="shared" si="18"/>
        <v>5</v>
      </c>
      <c r="M107" s="9">
        <f t="shared" si="19"/>
        <v>18</v>
      </c>
      <c r="N107" s="9">
        <f t="shared" si="20"/>
        <v>12</v>
      </c>
      <c r="O107" s="9">
        <f t="shared" si="21"/>
        <v>16</v>
      </c>
      <c r="P107" s="9">
        <f t="shared" si="22"/>
        <v>10</v>
      </c>
      <c r="Q107" s="9">
        <f t="shared" si="23"/>
        <v>4</v>
      </c>
      <c r="R107" s="9">
        <f t="shared" si="24"/>
        <v>0</v>
      </c>
      <c r="S107" s="9">
        <f t="shared" si="25"/>
        <v>4</v>
      </c>
      <c r="T107" s="9">
        <f t="shared" si="26"/>
        <v>0</v>
      </c>
      <c r="U107" s="14" t="str">
        <f t="shared" si="29"/>
        <v>Bork, W</v>
      </c>
      <c r="V107" s="14" t="str">
        <f t="shared" si="30"/>
        <v>BGC Uerdingen</v>
      </c>
      <c r="W107" s="3"/>
    </row>
    <row r="108" spans="1:23" ht="12.75">
      <c r="A108" s="2" t="s">
        <v>281</v>
      </c>
      <c r="B108" s="2" t="s">
        <v>290</v>
      </c>
      <c r="C108" s="4" t="s">
        <v>157</v>
      </c>
      <c r="D108" s="5">
        <v>96</v>
      </c>
      <c r="E108" s="5">
        <v>91</v>
      </c>
      <c r="F108" s="6">
        <v>95</v>
      </c>
      <c r="G108" s="6"/>
      <c r="H108" s="6"/>
      <c r="I108" s="6"/>
      <c r="J108" s="33"/>
      <c r="K108" s="9">
        <f t="shared" si="17"/>
        <v>24</v>
      </c>
      <c r="L108" s="9">
        <f t="shared" si="18"/>
        <v>5</v>
      </c>
      <c r="M108" s="9">
        <f t="shared" si="19"/>
        <v>18</v>
      </c>
      <c r="N108" s="9">
        <f t="shared" si="20"/>
        <v>12</v>
      </c>
      <c r="O108" s="9">
        <f t="shared" si="21"/>
        <v>16</v>
      </c>
      <c r="P108" s="9">
        <f t="shared" si="22"/>
        <v>10</v>
      </c>
      <c r="Q108" s="9">
        <f t="shared" si="23"/>
        <v>4</v>
      </c>
      <c r="R108" s="9">
        <f t="shared" si="24"/>
        <v>0</v>
      </c>
      <c r="S108" s="9">
        <f t="shared" si="25"/>
        <v>4</v>
      </c>
      <c r="T108" s="9">
        <f t="shared" si="26"/>
        <v>0</v>
      </c>
      <c r="U108" s="14" t="str">
        <f t="shared" si="29"/>
        <v>Mosch, W</v>
      </c>
      <c r="V108" s="14" t="str">
        <f t="shared" si="30"/>
        <v>BGC Uerdingen</v>
      </c>
      <c r="W108" s="3"/>
    </row>
    <row r="109" spans="1:23" ht="12.75">
      <c r="A109" s="2" t="s">
        <v>282</v>
      </c>
      <c r="B109" s="2" t="s">
        <v>290</v>
      </c>
      <c r="C109" s="4" t="s">
        <v>153</v>
      </c>
      <c r="D109" s="5">
        <v>101</v>
      </c>
      <c r="E109" s="5">
        <v>85</v>
      </c>
      <c r="F109" s="6">
        <v>87</v>
      </c>
      <c r="G109" s="6">
        <v>93</v>
      </c>
      <c r="H109" s="6"/>
      <c r="I109" s="6">
        <v>96</v>
      </c>
      <c r="J109" s="33"/>
      <c r="K109" s="9">
        <f t="shared" si="17"/>
        <v>24</v>
      </c>
      <c r="L109" s="9">
        <f t="shared" si="18"/>
        <v>6</v>
      </c>
      <c r="M109" s="9">
        <f t="shared" si="19"/>
        <v>18</v>
      </c>
      <c r="N109" s="9">
        <f t="shared" si="20"/>
        <v>12</v>
      </c>
      <c r="O109" s="9">
        <f t="shared" si="21"/>
        <v>16</v>
      </c>
      <c r="P109" s="9">
        <f t="shared" si="22"/>
        <v>10</v>
      </c>
      <c r="Q109" s="9">
        <f t="shared" si="23"/>
        <v>4</v>
      </c>
      <c r="R109" s="9">
        <f t="shared" si="24"/>
        <v>0</v>
      </c>
      <c r="S109" s="9">
        <f t="shared" si="25"/>
        <v>4</v>
      </c>
      <c r="T109" s="9">
        <f t="shared" si="26"/>
        <v>0</v>
      </c>
      <c r="U109" s="14" t="str">
        <f t="shared" si="29"/>
        <v>Dohmen, B</v>
      </c>
      <c r="V109" s="14" t="str">
        <f t="shared" si="30"/>
        <v>BGC Uerdingen</v>
      </c>
      <c r="W109" s="3"/>
    </row>
    <row r="110" spans="1:23" ht="12.75">
      <c r="A110" s="2" t="s">
        <v>283</v>
      </c>
      <c r="B110" s="2" t="s">
        <v>290</v>
      </c>
      <c r="C110" s="4" t="s">
        <v>159</v>
      </c>
      <c r="D110" s="5">
        <v>108</v>
      </c>
      <c r="E110" s="5">
        <v>98</v>
      </c>
      <c r="F110" s="6">
        <v>95</v>
      </c>
      <c r="G110" s="6"/>
      <c r="H110" s="6"/>
      <c r="I110" s="6"/>
      <c r="J110" s="33"/>
      <c r="K110" s="9">
        <f t="shared" si="17"/>
        <v>24</v>
      </c>
      <c r="L110" s="9">
        <f t="shared" si="18"/>
        <v>6</v>
      </c>
      <c r="M110" s="9">
        <f t="shared" si="19"/>
        <v>18</v>
      </c>
      <c r="N110" s="9">
        <f t="shared" si="20"/>
        <v>12</v>
      </c>
      <c r="O110" s="9">
        <f t="shared" si="21"/>
        <v>16</v>
      </c>
      <c r="P110" s="9">
        <f t="shared" si="22"/>
        <v>11</v>
      </c>
      <c r="Q110" s="9">
        <f t="shared" si="23"/>
        <v>4</v>
      </c>
      <c r="R110" s="9">
        <f t="shared" si="24"/>
        <v>0</v>
      </c>
      <c r="S110" s="9">
        <f t="shared" si="25"/>
        <v>4</v>
      </c>
      <c r="T110" s="9">
        <f t="shared" si="26"/>
        <v>0</v>
      </c>
      <c r="U110" s="14" t="str">
        <f t="shared" si="29"/>
        <v>Mosch, H</v>
      </c>
      <c r="V110" s="14" t="str">
        <f t="shared" si="30"/>
        <v>BGC Uerdingen</v>
      </c>
      <c r="W110" s="3"/>
    </row>
    <row r="111" spans="1:23" ht="12.75">
      <c r="A111" s="2" t="s">
        <v>285</v>
      </c>
      <c r="B111" s="2" t="s">
        <v>290</v>
      </c>
      <c r="C111" s="4" t="s">
        <v>156</v>
      </c>
      <c r="D111" s="5">
        <v>117</v>
      </c>
      <c r="E111" s="5">
        <v>88</v>
      </c>
      <c r="F111" s="6"/>
      <c r="G111" s="6">
        <v>101</v>
      </c>
      <c r="H111" s="6">
        <v>108</v>
      </c>
      <c r="I111" s="6">
        <v>106</v>
      </c>
      <c r="J111" s="33"/>
      <c r="K111" s="9">
        <f t="shared" si="17"/>
        <v>24</v>
      </c>
      <c r="L111" s="9">
        <f t="shared" si="18"/>
        <v>6</v>
      </c>
      <c r="M111" s="9">
        <f t="shared" si="19"/>
        <v>19</v>
      </c>
      <c r="N111" s="9">
        <f t="shared" si="20"/>
        <v>12</v>
      </c>
      <c r="O111" s="9">
        <f t="shared" si="21"/>
        <v>16</v>
      </c>
      <c r="P111" s="9">
        <f t="shared" si="22"/>
        <v>11</v>
      </c>
      <c r="Q111" s="9">
        <f t="shared" si="23"/>
        <v>4</v>
      </c>
      <c r="R111" s="9">
        <f t="shared" si="24"/>
        <v>0</v>
      </c>
      <c r="S111" s="9">
        <f t="shared" si="25"/>
        <v>4</v>
      </c>
      <c r="T111" s="9">
        <f t="shared" si="26"/>
        <v>0</v>
      </c>
      <c r="U111" s="14" t="str">
        <f t="shared" si="29"/>
        <v>Stachowitz, H</v>
      </c>
      <c r="V111" s="14" t="str">
        <f t="shared" si="30"/>
        <v>BGC Uerdingen</v>
      </c>
      <c r="W111" s="3"/>
    </row>
    <row r="112" spans="1:23" ht="12.75">
      <c r="A112" s="2" t="s">
        <v>286</v>
      </c>
      <c r="B112" s="2" t="s">
        <v>290</v>
      </c>
      <c r="C112" s="4" t="s">
        <v>158</v>
      </c>
      <c r="D112" s="5">
        <v>98</v>
      </c>
      <c r="E112" s="5">
        <v>95</v>
      </c>
      <c r="F112" s="6">
        <v>97</v>
      </c>
      <c r="G112" s="6">
        <v>92</v>
      </c>
      <c r="H112" s="6">
        <v>99</v>
      </c>
      <c r="I112" s="6">
        <v>92</v>
      </c>
      <c r="J112" s="33"/>
      <c r="K112" s="9">
        <f t="shared" si="17"/>
        <v>24</v>
      </c>
      <c r="L112" s="9">
        <f t="shared" si="18"/>
        <v>6</v>
      </c>
      <c r="M112" s="9">
        <f t="shared" si="19"/>
        <v>19</v>
      </c>
      <c r="N112" s="9">
        <f t="shared" si="20"/>
        <v>12</v>
      </c>
      <c r="O112" s="9">
        <f t="shared" si="21"/>
        <v>17</v>
      </c>
      <c r="P112" s="9">
        <f t="shared" si="22"/>
        <v>11</v>
      </c>
      <c r="Q112" s="9">
        <f t="shared" si="23"/>
        <v>4</v>
      </c>
      <c r="R112" s="9">
        <f t="shared" si="24"/>
        <v>0</v>
      </c>
      <c r="S112" s="9">
        <f t="shared" si="25"/>
        <v>4</v>
      </c>
      <c r="T112" s="9">
        <f t="shared" si="26"/>
        <v>0</v>
      </c>
      <c r="U112" s="14" t="str">
        <f t="shared" si="29"/>
        <v>Hauschke, D</v>
      </c>
      <c r="V112" s="14" t="str">
        <f t="shared" si="30"/>
        <v>BGC Uerdingen</v>
      </c>
      <c r="W112" s="3"/>
    </row>
    <row r="113" spans="1:23" ht="12.75">
      <c r="A113" s="2" t="s">
        <v>287</v>
      </c>
      <c r="B113" s="2" t="s">
        <v>290</v>
      </c>
      <c r="C113" s="4" t="s">
        <v>156</v>
      </c>
      <c r="D113" s="5">
        <v>108</v>
      </c>
      <c r="E113" s="5">
        <v>101</v>
      </c>
      <c r="F113" s="6">
        <v>109</v>
      </c>
      <c r="G113" s="6">
        <v>96</v>
      </c>
      <c r="H113" s="6">
        <v>103</v>
      </c>
      <c r="I113" s="6">
        <v>99</v>
      </c>
      <c r="J113" s="33"/>
      <c r="K113" s="9">
        <f t="shared" si="17"/>
        <v>24</v>
      </c>
      <c r="L113" s="9">
        <f t="shared" si="18"/>
        <v>6</v>
      </c>
      <c r="M113" s="9">
        <f t="shared" si="19"/>
        <v>20</v>
      </c>
      <c r="N113" s="9">
        <f t="shared" si="20"/>
        <v>12</v>
      </c>
      <c r="O113" s="9">
        <f t="shared" si="21"/>
        <v>17</v>
      </c>
      <c r="P113" s="9">
        <f t="shared" si="22"/>
        <v>11</v>
      </c>
      <c r="Q113" s="9">
        <f t="shared" si="23"/>
        <v>4</v>
      </c>
      <c r="R113" s="9">
        <f t="shared" si="24"/>
        <v>0</v>
      </c>
      <c r="S113" s="9">
        <f t="shared" si="25"/>
        <v>4</v>
      </c>
      <c r="T113" s="9">
        <f t="shared" si="26"/>
        <v>0</v>
      </c>
      <c r="U113" s="14" t="str">
        <f t="shared" si="29"/>
        <v>Ramb, W</v>
      </c>
      <c r="V113" s="14" t="str">
        <f t="shared" si="30"/>
        <v>BGC Uerdingen</v>
      </c>
      <c r="W113" s="3"/>
    </row>
    <row r="114" spans="1:23" ht="12.75">
      <c r="A114" s="2" t="s">
        <v>288</v>
      </c>
      <c r="B114" s="2" t="s">
        <v>290</v>
      </c>
      <c r="C114" s="4" t="s">
        <v>155</v>
      </c>
      <c r="D114" s="5">
        <v>119</v>
      </c>
      <c r="E114" s="5">
        <v>101</v>
      </c>
      <c r="F114" s="6">
        <v>101</v>
      </c>
      <c r="G114" s="6">
        <v>95</v>
      </c>
      <c r="H114" s="6">
        <v>103</v>
      </c>
      <c r="I114" s="6">
        <v>94</v>
      </c>
      <c r="J114" s="33"/>
      <c r="K114" s="9">
        <f t="shared" si="17"/>
        <v>24</v>
      </c>
      <c r="L114" s="9">
        <f t="shared" si="18"/>
        <v>6</v>
      </c>
      <c r="M114" s="9">
        <f t="shared" si="19"/>
        <v>20</v>
      </c>
      <c r="N114" s="9">
        <f t="shared" si="20"/>
        <v>13</v>
      </c>
      <c r="O114" s="9">
        <f t="shared" si="21"/>
        <v>17</v>
      </c>
      <c r="P114" s="9">
        <f t="shared" si="22"/>
        <v>11</v>
      </c>
      <c r="Q114" s="9">
        <f t="shared" si="23"/>
        <v>4</v>
      </c>
      <c r="R114" s="9">
        <f t="shared" si="24"/>
        <v>0</v>
      </c>
      <c r="S114" s="9">
        <f t="shared" si="25"/>
        <v>4</v>
      </c>
      <c r="T114" s="9">
        <f t="shared" si="26"/>
        <v>0</v>
      </c>
      <c r="U114" s="14" t="str">
        <f t="shared" si="29"/>
        <v>Hauschke, K</v>
      </c>
      <c r="V114" s="14" t="str">
        <f t="shared" si="30"/>
        <v>BGC Uerdingen</v>
      </c>
      <c r="W114" s="3"/>
    </row>
    <row r="115" spans="1:23" ht="12.75">
      <c r="A115" s="2" t="s">
        <v>289</v>
      </c>
      <c r="B115" s="2" t="s">
        <v>290</v>
      </c>
      <c r="C115" s="4" t="s">
        <v>156</v>
      </c>
      <c r="D115" s="5">
        <v>114</v>
      </c>
      <c r="E115" s="5">
        <v>104</v>
      </c>
      <c r="F115" s="6">
        <v>100</v>
      </c>
      <c r="G115" s="6">
        <v>101</v>
      </c>
      <c r="H115" s="6">
        <v>104</v>
      </c>
      <c r="I115" s="6">
        <v>110</v>
      </c>
      <c r="J115" s="33"/>
      <c r="K115" s="9">
        <f t="shared" si="17"/>
        <v>24</v>
      </c>
      <c r="L115" s="9">
        <f t="shared" si="18"/>
        <v>6</v>
      </c>
      <c r="M115" s="9">
        <f t="shared" si="19"/>
        <v>21</v>
      </c>
      <c r="N115" s="9">
        <f t="shared" si="20"/>
        <v>13</v>
      </c>
      <c r="O115" s="9">
        <f t="shared" si="21"/>
        <v>17</v>
      </c>
      <c r="P115" s="9">
        <f t="shared" si="22"/>
        <v>11</v>
      </c>
      <c r="Q115" s="9">
        <f t="shared" si="23"/>
        <v>4</v>
      </c>
      <c r="R115" s="9">
        <f t="shared" si="24"/>
        <v>0</v>
      </c>
      <c r="S115" s="9">
        <f t="shared" si="25"/>
        <v>4</v>
      </c>
      <c r="T115" s="9">
        <f t="shared" si="26"/>
        <v>0</v>
      </c>
      <c r="U115" s="14" t="str">
        <f t="shared" si="29"/>
        <v>Drechsler, K</v>
      </c>
      <c r="V115" s="14" t="str">
        <f t="shared" si="30"/>
        <v>BGC Uerdingen</v>
      </c>
      <c r="W115" s="3"/>
    </row>
    <row r="116" spans="1:23" ht="12.75">
      <c r="A116" s="2" t="s">
        <v>306</v>
      </c>
      <c r="B116" s="2" t="s">
        <v>290</v>
      </c>
      <c r="C116" s="4" t="s">
        <v>157</v>
      </c>
      <c r="D116" s="5"/>
      <c r="E116" s="5">
        <v>94</v>
      </c>
      <c r="F116" s="6"/>
      <c r="G116" s="6"/>
      <c r="H116" s="6"/>
      <c r="I116" s="6"/>
      <c r="J116" s="33"/>
      <c r="K116" s="9">
        <f t="shared" si="17"/>
        <v>25</v>
      </c>
      <c r="L116" s="9">
        <f t="shared" si="18"/>
        <v>6</v>
      </c>
      <c r="M116" s="9">
        <f t="shared" si="19"/>
        <v>21</v>
      </c>
      <c r="N116" s="9">
        <f t="shared" si="20"/>
        <v>13</v>
      </c>
      <c r="O116" s="9">
        <f t="shared" si="21"/>
        <v>17</v>
      </c>
      <c r="P116" s="9">
        <f t="shared" si="22"/>
        <v>11</v>
      </c>
      <c r="Q116" s="9">
        <f t="shared" si="23"/>
        <v>4</v>
      </c>
      <c r="R116" s="9">
        <f t="shared" si="24"/>
        <v>0</v>
      </c>
      <c r="S116" s="9">
        <f t="shared" si="25"/>
        <v>4</v>
      </c>
      <c r="T116" s="9">
        <f t="shared" si="26"/>
        <v>0</v>
      </c>
      <c r="U116" s="14" t="str">
        <f t="shared" si="29"/>
        <v>Hohmann, M</v>
      </c>
      <c r="V116" s="14" t="str">
        <f t="shared" si="30"/>
        <v>BGC Uerdingen</v>
      </c>
      <c r="W116" s="3"/>
    </row>
    <row r="117" spans="1:23" ht="12.75">
      <c r="A117" s="2" t="s">
        <v>307</v>
      </c>
      <c r="B117" s="2" t="s">
        <v>290</v>
      </c>
      <c r="C117" s="4" t="s">
        <v>153</v>
      </c>
      <c r="D117" s="5"/>
      <c r="E117" s="5">
        <v>103</v>
      </c>
      <c r="F117" s="6">
        <v>92</v>
      </c>
      <c r="G117" s="6">
        <v>108</v>
      </c>
      <c r="H117" s="6">
        <v>113</v>
      </c>
      <c r="I117" s="6">
        <v>100</v>
      </c>
      <c r="J117" s="33"/>
      <c r="K117" s="9">
        <f t="shared" si="17"/>
        <v>25</v>
      </c>
      <c r="L117" s="9">
        <f t="shared" si="18"/>
        <v>7</v>
      </c>
      <c r="M117" s="9">
        <f t="shared" si="19"/>
        <v>21</v>
      </c>
      <c r="N117" s="9">
        <f t="shared" si="20"/>
        <v>13</v>
      </c>
      <c r="O117" s="9">
        <f t="shared" si="21"/>
        <v>17</v>
      </c>
      <c r="P117" s="9">
        <f t="shared" si="22"/>
        <v>11</v>
      </c>
      <c r="Q117" s="9">
        <f t="shared" si="23"/>
        <v>4</v>
      </c>
      <c r="R117" s="9">
        <f t="shared" si="24"/>
        <v>0</v>
      </c>
      <c r="S117" s="9">
        <f t="shared" si="25"/>
        <v>4</v>
      </c>
      <c r="T117" s="9">
        <f t="shared" si="26"/>
        <v>0</v>
      </c>
      <c r="U117" s="14" t="str">
        <f t="shared" si="29"/>
        <v>Schmitt, R</v>
      </c>
      <c r="V117" s="14" t="str">
        <f t="shared" si="30"/>
        <v>BGC Uerdingen</v>
      </c>
      <c r="W117" s="3"/>
    </row>
    <row r="118" spans="1:23" ht="12.75">
      <c r="A118" s="2" t="s">
        <v>309</v>
      </c>
      <c r="B118" s="2" t="s">
        <v>290</v>
      </c>
      <c r="C118" s="4" t="s">
        <v>157</v>
      </c>
      <c r="D118" s="5"/>
      <c r="E118" s="5">
        <v>108</v>
      </c>
      <c r="F118" s="6">
        <v>99</v>
      </c>
      <c r="G118" s="6">
        <v>103</v>
      </c>
      <c r="H118" s="6">
        <v>112</v>
      </c>
      <c r="I118" s="6">
        <v>105</v>
      </c>
      <c r="J118" s="33"/>
      <c r="K118" s="9">
        <f t="shared" si="17"/>
        <v>26</v>
      </c>
      <c r="L118" s="9">
        <f t="shared" si="18"/>
        <v>7</v>
      </c>
      <c r="M118" s="9">
        <f t="shared" si="19"/>
        <v>21</v>
      </c>
      <c r="N118" s="9">
        <f t="shared" si="20"/>
        <v>13</v>
      </c>
      <c r="O118" s="9">
        <f t="shared" si="21"/>
        <v>17</v>
      </c>
      <c r="P118" s="9">
        <f t="shared" si="22"/>
        <v>11</v>
      </c>
      <c r="Q118" s="9">
        <f t="shared" si="23"/>
        <v>4</v>
      </c>
      <c r="R118" s="9">
        <f t="shared" si="24"/>
        <v>0</v>
      </c>
      <c r="S118" s="9">
        <f t="shared" si="25"/>
        <v>4</v>
      </c>
      <c r="T118" s="9">
        <f t="shared" si="26"/>
        <v>0</v>
      </c>
      <c r="U118" s="14" t="str">
        <f t="shared" si="29"/>
        <v>Käsler, R</v>
      </c>
      <c r="V118" s="14" t="str">
        <f t="shared" si="30"/>
        <v>BGC Uerdingen</v>
      </c>
      <c r="W118" s="3"/>
    </row>
    <row r="119" spans="1:23" ht="12.75">
      <c r="A119" s="2" t="s">
        <v>308</v>
      </c>
      <c r="B119" s="2" t="s">
        <v>290</v>
      </c>
      <c r="C119" s="4" t="s">
        <v>156</v>
      </c>
      <c r="D119" s="5"/>
      <c r="E119" s="5"/>
      <c r="F119" s="6"/>
      <c r="G119" s="6">
        <v>95</v>
      </c>
      <c r="H119" s="6">
        <v>100</v>
      </c>
      <c r="I119" s="6">
        <v>89</v>
      </c>
      <c r="J119" s="33"/>
      <c r="K119" s="9">
        <f t="shared" si="17"/>
        <v>26</v>
      </c>
      <c r="L119" s="9">
        <f t="shared" si="18"/>
        <v>7</v>
      </c>
      <c r="M119" s="9">
        <f t="shared" si="19"/>
        <v>22</v>
      </c>
      <c r="N119" s="9">
        <f t="shared" si="20"/>
        <v>13</v>
      </c>
      <c r="O119" s="9">
        <f t="shared" si="21"/>
        <v>17</v>
      </c>
      <c r="P119" s="9">
        <f t="shared" si="22"/>
        <v>11</v>
      </c>
      <c r="Q119" s="9">
        <f t="shared" si="23"/>
        <v>4</v>
      </c>
      <c r="R119" s="9">
        <f t="shared" si="24"/>
        <v>0</v>
      </c>
      <c r="S119" s="9">
        <f t="shared" si="25"/>
        <v>4</v>
      </c>
      <c r="T119" s="9">
        <f t="shared" si="26"/>
        <v>0</v>
      </c>
      <c r="U119" s="14" t="str">
        <f t="shared" si="29"/>
        <v>Gremm, D</v>
      </c>
      <c r="V119" s="14" t="str">
        <f t="shared" si="30"/>
        <v>BGC Uerdingen</v>
      </c>
      <c r="W119" s="3"/>
    </row>
    <row r="120" spans="1:23" ht="12.75">
      <c r="A120" s="2"/>
      <c r="B120" s="2"/>
      <c r="C120" s="4"/>
      <c r="D120" s="5"/>
      <c r="E120" s="5"/>
      <c r="F120" s="6"/>
      <c r="G120" s="6"/>
      <c r="H120" s="6"/>
      <c r="I120" s="6"/>
      <c r="J120" s="33"/>
      <c r="K120" s="9">
        <f t="shared" si="17"/>
        <v>26</v>
      </c>
      <c r="L120" s="9">
        <f t="shared" si="18"/>
        <v>7</v>
      </c>
      <c r="M120" s="9">
        <f t="shared" si="19"/>
        <v>22</v>
      </c>
      <c r="N120" s="9">
        <f t="shared" si="20"/>
        <v>13</v>
      </c>
      <c r="O120" s="9">
        <f t="shared" si="21"/>
        <v>17</v>
      </c>
      <c r="P120" s="9">
        <f t="shared" si="22"/>
        <v>11</v>
      </c>
      <c r="Q120" s="9">
        <f t="shared" si="23"/>
        <v>4</v>
      </c>
      <c r="R120" s="9">
        <f t="shared" si="24"/>
        <v>0</v>
      </c>
      <c r="S120" s="9">
        <f t="shared" si="25"/>
        <v>4</v>
      </c>
      <c r="T120" s="9">
        <f t="shared" si="26"/>
        <v>0</v>
      </c>
      <c r="U120" s="14">
        <f t="shared" si="29"/>
        <v>0</v>
      </c>
      <c r="V120" s="14">
        <f t="shared" si="30"/>
        <v>0</v>
      </c>
      <c r="W120" s="3"/>
    </row>
    <row r="121" spans="1:23" ht="12.75">
      <c r="A121" s="2"/>
      <c r="B121" s="2"/>
      <c r="C121" s="4"/>
      <c r="D121" s="5"/>
      <c r="E121" s="5"/>
      <c r="F121" s="6"/>
      <c r="G121" s="6"/>
      <c r="H121" s="6"/>
      <c r="I121" s="6"/>
      <c r="J121" s="33"/>
      <c r="K121" s="9">
        <f t="shared" si="17"/>
        <v>26</v>
      </c>
      <c r="L121" s="9">
        <f t="shared" si="18"/>
        <v>7</v>
      </c>
      <c r="M121" s="9">
        <f t="shared" si="19"/>
        <v>22</v>
      </c>
      <c r="N121" s="9">
        <f t="shared" si="20"/>
        <v>13</v>
      </c>
      <c r="O121" s="9">
        <f t="shared" si="21"/>
        <v>17</v>
      </c>
      <c r="P121" s="9">
        <f t="shared" si="22"/>
        <v>11</v>
      </c>
      <c r="Q121" s="9">
        <f t="shared" si="23"/>
        <v>4</v>
      </c>
      <c r="R121" s="9">
        <f t="shared" si="24"/>
        <v>0</v>
      </c>
      <c r="S121" s="9">
        <f t="shared" si="25"/>
        <v>4</v>
      </c>
      <c r="T121" s="9">
        <f t="shared" si="26"/>
        <v>0</v>
      </c>
      <c r="U121" s="14">
        <f t="shared" si="29"/>
        <v>0</v>
      </c>
      <c r="V121" s="14">
        <f t="shared" si="30"/>
        <v>0</v>
      </c>
      <c r="W121" s="3"/>
    </row>
    <row r="122" spans="1:23" ht="12.75">
      <c r="A122" s="2"/>
      <c r="B122" s="2"/>
      <c r="C122" s="4"/>
      <c r="D122" s="5"/>
      <c r="E122" s="5"/>
      <c r="F122" s="6"/>
      <c r="G122" s="6"/>
      <c r="H122" s="6"/>
      <c r="I122" s="6"/>
      <c r="J122" s="33"/>
      <c r="K122" s="9">
        <f t="shared" si="17"/>
        <v>26</v>
      </c>
      <c r="L122" s="9">
        <f t="shared" si="18"/>
        <v>7</v>
      </c>
      <c r="M122" s="9">
        <f t="shared" si="19"/>
        <v>22</v>
      </c>
      <c r="N122" s="9">
        <f t="shared" si="20"/>
        <v>13</v>
      </c>
      <c r="O122" s="9">
        <f t="shared" si="21"/>
        <v>17</v>
      </c>
      <c r="P122" s="9">
        <f t="shared" si="22"/>
        <v>11</v>
      </c>
      <c r="Q122" s="9">
        <f t="shared" si="23"/>
        <v>4</v>
      </c>
      <c r="R122" s="9">
        <f t="shared" si="24"/>
        <v>0</v>
      </c>
      <c r="S122" s="9">
        <f t="shared" si="25"/>
        <v>4</v>
      </c>
      <c r="T122" s="9">
        <f t="shared" si="26"/>
        <v>0</v>
      </c>
      <c r="U122" s="14">
        <f t="shared" si="29"/>
        <v>0</v>
      </c>
      <c r="V122" s="14">
        <f t="shared" si="30"/>
        <v>0</v>
      </c>
      <c r="W122" s="3"/>
    </row>
    <row r="123" spans="1:23" ht="13.5" thickBot="1">
      <c r="A123" s="2"/>
      <c r="B123" s="2"/>
      <c r="C123" s="4"/>
      <c r="D123" s="5"/>
      <c r="E123" s="5"/>
      <c r="F123" s="6"/>
      <c r="G123" s="6"/>
      <c r="H123" s="6"/>
      <c r="I123" s="6"/>
      <c r="J123" s="33"/>
      <c r="K123" s="9">
        <f t="shared" si="17"/>
        <v>26</v>
      </c>
      <c r="L123" s="9">
        <f t="shared" si="18"/>
        <v>7</v>
      </c>
      <c r="M123" s="9">
        <f t="shared" si="19"/>
        <v>22</v>
      </c>
      <c r="N123" s="9">
        <f t="shared" si="20"/>
        <v>13</v>
      </c>
      <c r="O123" s="9">
        <f t="shared" si="21"/>
        <v>17</v>
      </c>
      <c r="P123" s="9">
        <f t="shared" si="22"/>
        <v>11</v>
      </c>
      <c r="Q123" s="9">
        <f t="shared" si="23"/>
        <v>4</v>
      </c>
      <c r="R123" s="9">
        <f t="shared" si="24"/>
        <v>0</v>
      </c>
      <c r="S123" s="9">
        <f t="shared" si="25"/>
        <v>4</v>
      </c>
      <c r="T123" s="9">
        <f t="shared" si="26"/>
        <v>0</v>
      </c>
      <c r="U123" s="14">
        <f t="shared" si="29"/>
        <v>0</v>
      </c>
      <c r="V123" s="14">
        <f t="shared" si="30"/>
        <v>0</v>
      </c>
      <c r="W123" s="3"/>
    </row>
    <row r="124" spans="1:23" ht="13.5" thickBot="1">
      <c r="A124" s="39" t="s">
        <v>18</v>
      </c>
      <c r="B124" s="40" t="s">
        <v>18</v>
      </c>
      <c r="C124" s="41"/>
      <c r="D124" s="40">
        <f aca="true" t="shared" si="32" ref="D124:I124">COUNTIF(D3:D123,"&gt;0")</f>
        <v>95</v>
      </c>
      <c r="E124" s="40">
        <f t="shared" si="32"/>
        <v>93</v>
      </c>
      <c r="F124" s="40">
        <f t="shared" si="32"/>
        <v>90</v>
      </c>
      <c r="G124" s="40">
        <f t="shared" si="32"/>
        <v>86</v>
      </c>
      <c r="H124" s="40">
        <f t="shared" si="32"/>
        <v>84</v>
      </c>
      <c r="I124" s="40">
        <f t="shared" si="32"/>
        <v>85</v>
      </c>
      <c r="J124" s="44"/>
      <c r="K124" s="29">
        <f aca="true" t="shared" si="33" ref="K124:T124">IF($A124="AAAAAAAAAA",0,IF($C124=K$1,K123+1,K123))</f>
        <v>26</v>
      </c>
      <c r="L124" s="30">
        <f t="shared" si="33"/>
        <v>7</v>
      </c>
      <c r="M124" s="30">
        <f t="shared" si="33"/>
        <v>22</v>
      </c>
      <c r="N124" s="30">
        <f t="shared" si="33"/>
        <v>13</v>
      </c>
      <c r="O124" s="30">
        <f t="shared" si="33"/>
        <v>17</v>
      </c>
      <c r="P124" s="30">
        <f t="shared" si="33"/>
        <v>11</v>
      </c>
      <c r="Q124" s="30">
        <f t="shared" si="33"/>
        <v>4</v>
      </c>
      <c r="R124" s="30">
        <f t="shared" si="33"/>
        <v>0</v>
      </c>
      <c r="S124" s="30">
        <f t="shared" si="33"/>
        <v>4</v>
      </c>
      <c r="T124" s="31">
        <f t="shared" si="33"/>
        <v>0</v>
      </c>
      <c r="U124" s="37" t="str">
        <f t="shared" si="29"/>
        <v>ZZZZZZZZZZ</v>
      </c>
      <c r="V124" s="37" t="str">
        <f t="shared" si="30"/>
        <v>ZZZZZZZZZZ</v>
      </c>
      <c r="W124" s="3"/>
    </row>
    <row r="125" spans="4:20" ht="13.5" thickBot="1">
      <c r="D125" s="8"/>
      <c r="E125" s="8"/>
      <c r="F125" s="8"/>
      <c r="G125" s="8"/>
      <c r="H125" s="8"/>
      <c r="I125" s="45">
        <f>COUNTIF(D124:I124,"&gt;0")</f>
        <v>6</v>
      </c>
      <c r="J125" s="8"/>
      <c r="T125" s="100">
        <f>SUM(K124:T124)</f>
        <v>104</v>
      </c>
    </row>
    <row r="126" spans="1:5" ht="12.75">
      <c r="A126" s="11" t="s">
        <v>31</v>
      </c>
      <c r="B126" s="23" t="s">
        <v>72</v>
      </c>
      <c r="C126" s="24"/>
      <c r="E126" s="17"/>
    </row>
    <row r="127" spans="1:6" ht="12.75">
      <c r="A127" s="11" t="s">
        <v>71</v>
      </c>
      <c r="B127" s="23" t="s">
        <v>73</v>
      </c>
      <c r="C127" s="24"/>
      <c r="E127" s="17"/>
      <c r="F127" s="17"/>
    </row>
    <row r="128" spans="1:10" ht="12.75">
      <c r="A128" s="16" t="s">
        <v>32</v>
      </c>
      <c r="B128" s="25" t="s">
        <v>177</v>
      </c>
      <c r="C128" s="24"/>
      <c r="D128" s="21"/>
      <c r="E128" s="19"/>
      <c r="F128" s="22"/>
      <c r="G128" s="18"/>
      <c r="I128" s="20"/>
      <c r="J128" s="20"/>
    </row>
    <row r="129" spans="1:10" ht="12.75">
      <c r="A129" s="51" t="s">
        <v>174</v>
      </c>
      <c r="B129" s="25" t="s">
        <v>178</v>
      </c>
      <c r="C129" s="24"/>
      <c r="D129" s="21"/>
      <c r="E129" s="19"/>
      <c r="F129" s="22"/>
      <c r="G129" s="18"/>
      <c r="I129" s="1"/>
      <c r="J129" s="1"/>
    </row>
    <row r="130" spans="1:7" ht="12.75">
      <c r="A130" s="16" t="s">
        <v>171</v>
      </c>
      <c r="B130" s="25" t="s">
        <v>179</v>
      </c>
      <c r="C130" s="24"/>
      <c r="D130" s="21"/>
      <c r="E130" s="19"/>
      <c r="F130" s="22"/>
      <c r="G130" s="18"/>
    </row>
    <row r="131" spans="1:7" ht="12.75">
      <c r="A131" s="16" t="s">
        <v>175</v>
      </c>
      <c r="B131" s="25" t="s">
        <v>180</v>
      </c>
      <c r="C131" s="24"/>
      <c r="D131" s="21"/>
      <c r="E131" s="19"/>
      <c r="F131" s="22"/>
      <c r="G131" s="18"/>
    </row>
    <row r="132" spans="1:7" ht="12.75">
      <c r="A132" s="16" t="s">
        <v>176</v>
      </c>
      <c r="B132" s="25" t="s">
        <v>181</v>
      </c>
      <c r="C132" s="24"/>
      <c r="D132" s="21"/>
      <c r="E132" s="19"/>
      <c r="F132" s="22"/>
      <c r="G132" s="18"/>
    </row>
    <row r="133" spans="1:7" ht="12.75">
      <c r="A133" s="16" t="s">
        <v>304</v>
      </c>
      <c r="B133" s="25" t="s">
        <v>182</v>
      </c>
      <c r="C133" s="24"/>
      <c r="D133" s="21"/>
      <c r="E133" s="19"/>
      <c r="F133" s="22"/>
      <c r="G133" s="18"/>
    </row>
    <row r="135" ht="12.75">
      <c r="A135" s="27" t="s">
        <v>74</v>
      </c>
    </row>
    <row r="136" spans="1:2" ht="12.75">
      <c r="A136" s="26" t="s">
        <v>170</v>
      </c>
      <c r="B136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&amp;R&amp;8Andreas Reese, MGC "AS" Witten `63 e.V.
&amp;F, [&amp;A],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R37"/>
  <sheetViews>
    <sheetView workbookViewId="0" topLeftCell="A2">
      <selection activeCell="I6" sqref="I6"/>
    </sheetView>
  </sheetViews>
  <sheetFormatPr defaultColWidth="11.421875" defaultRowHeight="12.75"/>
  <cols>
    <col min="1" max="2" width="16.7109375" style="0" customWidth="1"/>
    <col min="3" max="3" width="8.8515625" style="0" bestFit="1" customWidth="1"/>
    <col min="4" max="10" width="4.7109375" style="0" customWidth="1"/>
    <col min="11" max="12" width="3.00390625" style="0" bestFit="1" customWidth="1"/>
    <col min="13" max="13" width="4.8515625" style="0" bestFit="1" customWidth="1"/>
    <col min="14" max="14" width="5.140625" style="0" bestFit="1" customWidth="1"/>
    <col min="15" max="15" width="4.8515625" style="0" bestFit="1" customWidth="1"/>
    <col min="16" max="16" width="20.57421875" style="0" customWidth="1"/>
    <col min="17" max="17" width="16.8515625" style="0" customWidth="1"/>
  </cols>
  <sheetData>
    <row r="1" spans="1:18" ht="12.75">
      <c r="A1" s="38" t="s">
        <v>75</v>
      </c>
      <c r="B1" s="38" t="s">
        <v>1</v>
      </c>
      <c r="C1" s="38" t="s">
        <v>15</v>
      </c>
      <c r="D1" s="38" t="s">
        <v>48</v>
      </c>
      <c r="E1" s="38" t="s">
        <v>49</v>
      </c>
      <c r="F1" s="38" t="s">
        <v>50</v>
      </c>
      <c r="G1" s="38" t="s">
        <v>51</v>
      </c>
      <c r="H1" s="38" t="s">
        <v>52</v>
      </c>
      <c r="I1" s="38" t="s">
        <v>53</v>
      </c>
      <c r="J1" s="38" t="s">
        <v>91</v>
      </c>
      <c r="K1" s="3" t="s">
        <v>6</v>
      </c>
      <c r="L1" s="3" t="s">
        <v>5</v>
      </c>
      <c r="M1" s="3" t="s">
        <v>55</v>
      </c>
      <c r="N1" s="3" t="s">
        <v>56</v>
      </c>
      <c r="O1" s="3" t="s">
        <v>54</v>
      </c>
      <c r="P1" s="3" t="s">
        <v>16</v>
      </c>
      <c r="Q1" s="3" t="s">
        <v>19</v>
      </c>
      <c r="R1" s="3"/>
    </row>
    <row r="2" spans="1:18" ht="12.75">
      <c r="A2" s="37" t="s">
        <v>17</v>
      </c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9">
        <f aca="true" t="shared" si="0" ref="K2:K9">IF($A2="AAAAAAAAAA",0,IF($C2=K$1,K1+1,K1))</f>
        <v>0</v>
      </c>
      <c r="L2" s="9">
        <f aca="true" t="shared" si="1" ref="L2:L9">IF($A2="AAAAAAAAAA",0,IF($C2=L$1,L1+1,L1))</f>
        <v>0</v>
      </c>
      <c r="M2" s="9">
        <f aca="true" t="shared" si="2" ref="M2:M9">IF($A2="AAAAAAAAAA",0,IF($C2=M$1,M1+1,M1))</f>
        <v>0</v>
      </c>
      <c r="N2" s="9">
        <f aca="true" t="shared" si="3" ref="N2:N9">IF($A2="AAAAAAAAAA",0,IF($C2=N$1,N1+1,N1))</f>
        <v>0</v>
      </c>
      <c r="O2" s="9">
        <f aca="true" t="shared" si="4" ref="O2:O9">IF($A2="AAAAAAAAAA",0,IF($C2=O$1,O1+1,O1))</f>
        <v>0</v>
      </c>
      <c r="P2" s="37" t="str">
        <f aca="true" t="shared" si="5" ref="P2:P26">A2</f>
        <v>AAAAAAAAAA</v>
      </c>
      <c r="Q2" s="37" t="str">
        <f aca="true" t="shared" si="6" ref="Q2:Q26">B2</f>
        <v>AAAAAAAAAA</v>
      </c>
      <c r="R2" s="3"/>
    </row>
    <row r="3" spans="1:18" ht="12.75">
      <c r="A3" s="2" t="s">
        <v>163</v>
      </c>
      <c r="B3" s="2" t="s">
        <v>152</v>
      </c>
      <c r="C3" s="4" t="s">
        <v>157</v>
      </c>
      <c r="D3" s="5">
        <v>567</v>
      </c>
      <c r="E3" s="5">
        <v>559</v>
      </c>
      <c r="F3" s="5">
        <v>531</v>
      </c>
      <c r="G3" s="5">
        <v>567</v>
      </c>
      <c r="H3" s="5">
        <v>545</v>
      </c>
      <c r="I3" s="5">
        <v>541</v>
      </c>
      <c r="J3" s="33"/>
      <c r="K3" s="9">
        <f t="shared" si="0"/>
        <v>1</v>
      </c>
      <c r="L3" s="9">
        <f t="shared" si="1"/>
        <v>0</v>
      </c>
      <c r="M3" s="9">
        <f t="shared" si="2"/>
        <v>0</v>
      </c>
      <c r="N3" s="9">
        <f t="shared" si="3"/>
        <v>0</v>
      </c>
      <c r="O3" s="9">
        <f t="shared" si="4"/>
        <v>0</v>
      </c>
      <c r="P3" s="14" t="str">
        <f t="shared" si="5"/>
        <v>"AS" Witten 1</v>
      </c>
      <c r="Q3" s="14" t="str">
        <f t="shared" si="6"/>
        <v>MGC "AS" Witten</v>
      </c>
      <c r="R3" s="3"/>
    </row>
    <row r="4" spans="1:18" ht="12.75">
      <c r="A4" s="2" t="s">
        <v>164</v>
      </c>
      <c r="B4" s="2" t="s">
        <v>152</v>
      </c>
      <c r="C4" s="4" t="s">
        <v>153</v>
      </c>
      <c r="D4" s="5">
        <v>279</v>
      </c>
      <c r="E4" s="5">
        <v>293</v>
      </c>
      <c r="F4" s="6">
        <v>297</v>
      </c>
      <c r="G4" s="5">
        <v>289</v>
      </c>
      <c r="H4" s="5">
        <v>289</v>
      </c>
      <c r="I4" s="6">
        <v>285</v>
      </c>
      <c r="J4" s="33"/>
      <c r="K4" s="9">
        <f t="shared" si="0"/>
        <v>1</v>
      </c>
      <c r="L4" s="9">
        <f t="shared" si="1"/>
        <v>1</v>
      </c>
      <c r="M4" s="9">
        <f t="shared" si="2"/>
        <v>0</v>
      </c>
      <c r="N4" s="9">
        <f t="shared" si="3"/>
        <v>0</v>
      </c>
      <c r="O4" s="9">
        <f t="shared" si="4"/>
        <v>0</v>
      </c>
      <c r="P4" s="14" t="str">
        <f t="shared" si="5"/>
        <v>"AS" Witten 2</v>
      </c>
      <c r="Q4" s="14" t="str">
        <f t="shared" si="6"/>
        <v>MGC "AS" Witten</v>
      </c>
      <c r="R4" s="3"/>
    </row>
    <row r="5" spans="1:18" ht="12.75">
      <c r="A5" s="2" t="s">
        <v>165</v>
      </c>
      <c r="B5" s="2" t="s">
        <v>152</v>
      </c>
      <c r="C5" s="4" t="s">
        <v>166</v>
      </c>
      <c r="D5" s="5">
        <v>285</v>
      </c>
      <c r="E5" s="5">
        <v>291</v>
      </c>
      <c r="F5" s="6">
        <v>307</v>
      </c>
      <c r="G5" s="5">
        <v>288</v>
      </c>
      <c r="H5" s="5">
        <v>303</v>
      </c>
      <c r="I5" s="6">
        <v>304</v>
      </c>
      <c r="J5" s="33"/>
      <c r="K5" s="9">
        <f t="shared" si="0"/>
        <v>1</v>
      </c>
      <c r="L5" s="9">
        <f t="shared" si="1"/>
        <v>1</v>
      </c>
      <c r="M5" s="9">
        <f t="shared" si="2"/>
        <v>1</v>
      </c>
      <c r="N5" s="9">
        <f t="shared" si="3"/>
        <v>0</v>
      </c>
      <c r="O5" s="9">
        <f t="shared" si="4"/>
        <v>0</v>
      </c>
      <c r="P5" s="14" t="str">
        <f t="shared" si="5"/>
        <v>"AS" Witten 3</v>
      </c>
      <c r="Q5" s="14" t="str">
        <f t="shared" si="6"/>
        <v>MGC "AS" Witten</v>
      </c>
      <c r="R5" s="3"/>
    </row>
    <row r="6" spans="1:18" ht="12.75">
      <c r="A6" s="2"/>
      <c r="B6" s="2"/>
      <c r="C6" s="4"/>
      <c r="D6" s="5"/>
      <c r="E6" s="5"/>
      <c r="F6" s="6"/>
      <c r="G6" s="5"/>
      <c r="H6" s="5"/>
      <c r="I6" s="6"/>
      <c r="J6" s="33"/>
      <c r="K6" s="9">
        <f t="shared" si="0"/>
        <v>1</v>
      </c>
      <c r="L6" s="9">
        <f t="shared" si="1"/>
        <v>1</v>
      </c>
      <c r="M6" s="9">
        <f t="shared" si="2"/>
        <v>1</v>
      </c>
      <c r="N6" s="9">
        <f t="shared" si="3"/>
        <v>0</v>
      </c>
      <c r="O6" s="9">
        <f t="shared" si="4"/>
        <v>0</v>
      </c>
      <c r="P6" s="14">
        <f t="shared" si="5"/>
        <v>0</v>
      </c>
      <c r="Q6" s="14">
        <f t="shared" si="6"/>
        <v>0</v>
      </c>
      <c r="R6" s="3"/>
    </row>
    <row r="7" spans="1:18" ht="12.75">
      <c r="A7" s="2" t="s">
        <v>167</v>
      </c>
      <c r="B7" s="2" t="s">
        <v>305</v>
      </c>
      <c r="C7" s="4" t="s">
        <v>157</v>
      </c>
      <c r="D7" s="5">
        <v>597</v>
      </c>
      <c r="E7" s="5">
        <v>560</v>
      </c>
      <c r="F7" s="5">
        <v>561</v>
      </c>
      <c r="G7" s="5">
        <v>561</v>
      </c>
      <c r="H7" s="5">
        <v>591</v>
      </c>
      <c r="I7" s="5">
        <v>560</v>
      </c>
      <c r="J7" s="33"/>
      <c r="K7" s="9">
        <f t="shared" si="0"/>
        <v>2</v>
      </c>
      <c r="L7" s="9">
        <f t="shared" si="1"/>
        <v>1</v>
      </c>
      <c r="M7" s="9">
        <f t="shared" si="2"/>
        <v>1</v>
      </c>
      <c r="N7" s="9">
        <f t="shared" si="3"/>
        <v>0</v>
      </c>
      <c r="O7" s="9">
        <f t="shared" si="4"/>
        <v>0</v>
      </c>
      <c r="P7" s="14" t="str">
        <f t="shared" si="5"/>
        <v>Gelsenkirchen 1</v>
      </c>
      <c r="Q7" s="14" t="str">
        <f t="shared" si="6"/>
        <v>1. MGC Gelsenkirchen</v>
      </c>
      <c r="R7" s="3"/>
    </row>
    <row r="8" spans="1:18" ht="12.75">
      <c r="A8" s="2" t="s">
        <v>168</v>
      </c>
      <c r="B8" s="2" t="s">
        <v>305</v>
      </c>
      <c r="C8" s="4" t="s">
        <v>166</v>
      </c>
      <c r="D8" s="5">
        <v>306</v>
      </c>
      <c r="E8" s="5">
        <v>288</v>
      </c>
      <c r="F8" s="5">
        <v>284</v>
      </c>
      <c r="G8" s="5">
        <v>300</v>
      </c>
      <c r="H8" s="5">
        <v>299</v>
      </c>
      <c r="I8" s="5">
        <v>273</v>
      </c>
      <c r="J8" s="33"/>
      <c r="K8" s="9">
        <f t="shared" si="0"/>
        <v>2</v>
      </c>
      <c r="L8" s="9">
        <f t="shared" si="1"/>
        <v>1</v>
      </c>
      <c r="M8" s="9">
        <f t="shared" si="2"/>
        <v>2</v>
      </c>
      <c r="N8" s="9">
        <f t="shared" si="3"/>
        <v>0</v>
      </c>
      <c r="O8" s="9">
        <f t="shared" si="4"/>
        <v>0</v>
      </c>
      <c r="P8" s="14" t="str">
        <f t="shared" si="5"/>
        <v>Gelsenkirchen 2</v>
      </c>
      <c r="Q8" s="14" t="str">
        <f t="shared" si="6"/>
        <v>1. MGC Gelsenkirchen</v>
      </c>
      <c r="R8" s="3"/>
    </row>
    <row r="9" spans="1:18" ht="12.75">
      <c r="A9" s="2" t="s">
        <v>169</v>
      </c>
      <c r="B9" s="2" t="s">
        <v>305</v>
      </c>
      <c r="C9" s="4" t="s">
        <v>166</v>
      </c>
      <c r="D9" s="5">
        <v>353</v>
      </c>
      <c r="E9" s="5">
        <v>323</v>
      </c>
      <c r="F9" s="5">
        <v>308</v>
      </c>
      <c r="G9" s="5">
        <v>342</v>
      </c>
      <c r="H9" s="5"/>
      <c r="I9" s="5">
        <v>311</v>
      </c>
      <c r="J9" s="33"/>
      <c r="K9" s="9">
        <f t="shared" si="0"/>
        <v>2</v>
      </c>
      <c r="L9" s="9">
        <f t="shared" si="1"/>
        <v>1</v>
      </c>
      <c r="M9" s="9">
        <f t="shared" si="2"/>
        <v>3</v>
      </c>
      <c r="N9" s="9">
        <f t="shared" si="3"/>
        <v>0</v>
      </c>
      <c r="O9" s="9">
        <f t="shared" si="4"/>
        <v>0</v>
      </c>
      <c r="P9" s="14" t="str">
        <f t="shared" si="5"/>
        <v>Gelsenkirchen 3</v>
      </c>
      <c r="Q9" s="14" t="str">
        <f t="shared" si="6"/>
        <v>1. MGC Gelsenkirchen</v>
      </c>
      <c r="R9" s="3"/>
    </row>
    <row r="10" spans="1:18" ht="12.75">
      <c r="A10" s="2"/>
      <c r="B10" s="2"/>
      <c r="C10" s="4"/>
      <c r="D10" s="5"/>
      <c r="E10" s="5"/>
      <c r="F10" s="5"/>
      <c r="G10" s="5"/>
      <c r="H10" s="5"/>
      <c r="I10" s="5"/>
      <c r="J10" s="33"/>
      <c r="K10" s="9">
        <f aca="true" t="shared" si="7" ref="K10:K28">IF($A10="AAAAAAAAAA",0,IF($C10=K$1,K9+1,K9))</f>
        <v>2</v>
      </c>
      <c r="L10" s="9">
        <f aca="true" t="shared" si="8" ref="L10:L28">IF($A10="AAAAAAAAAA",0,IF($C10=L$1,L9+1,L9))</f>
        <v>1</v>
      </c>
      <c r="M10" s="9">
        <f aca="true" t="shared" si="9" ref="M10:M28">IF($A10="AAAAAAAAAA",0,IF($C10=M$1,M9+1,M9))</f>
        <v>3</v>
      </c>
      <c r="N10" s="9">
        <f aca="true" t="shared" si="10" ref="N10:N28">IF($A10="AAAAAAAAAA",0,IF($C10=N$1,N9+1,N9))</f>
        <v>0</v>
      </c>
      <c r="O10" s="9">
        <f aca="true" t="shared" si="11" ref="O10:O28">IF($A10="AAAAAAAAAA",0,IF($C10=O$1,O9+1,O9))</f>
        <v>0</v>
      </c>
      <c r="P10" s="14">
        <f t="shared" si="5"/>
        <v>0</v>
      </c>
      <c r="Q10" s="14">
        <f t="shared" si="6"/>
        <v>0</v>
      </c>
      <c r="R10" s="3"/>
    </row>
    <row r="11" spans="1:18" ht="12.75">
      <c r="A11" s="2" t="s">
        <v>291</v>
      </c>
      <c r="B11" s="2" t="s">
        <v>255</v>
      </c>
      <c r="C11" s="4" t="s">
        <v>157</v>
      </c>
      <c r="D11" s="5">
        <v>629</v>
      </c>
      <c r="E11" s="5">
        <v>585</v>
      </c>
      <c r="F11" s="5">
        <v>559</v>
      </c>
      <c r="G11" s="5">
        <v>546</v>
      </c>
      <c r="H11" s="5">
        <v>612</v>
      </c>
      <c r="I11" s="5">
        <v>578</v>
      </c>
      <c r="J11" s="33"/>
      <c r="K11" s="9">
        <f t="shared" si="7"/>
        <v>3</v>
      </c>
      <c r="L11" s="9">
        <f t="shared" si="8"/>
        <v>1</v>
      </c>
      <c r="M11" s="9">
        <f t="shared" si="9"/>
        <v>3</v>
      </c>
      <c r="N11" s="9">
        <f t="shared" si="10"/>
        <v>0</v>
      </c>
      <c r="O11" s="9">
        <f t="shared" si="11"/>
        <v>0</v>
      </c>
      <c r="P11" s="14" t="str">
        <f aca="true" t="shared" si="12" ref="P11:Q15">A11</f>
        <v>Wesel 1</v>
      </c>
      <c r="Q11" s="14" t="str">
        <f t="shared" si="12"/>
        <v>1.MSC Wesel</v>
      </c>
      <c r="R11" s="3"/>
    </row>
    <row r="12" spans="1:18" ht="12.75">
      <c r="A12" s="2" t="s">
        <v>292</v>
      </c>
      <c r="B12" s="2" t="s">
        <v>255</v>
      </c>
      <c r="C12" s="4" t="s">
        <v>166</v>
      </c>
      <c r="D12" s="5">
        <v>296</v>
      </c>
      <c r="E12" s="5">
        <v>284</v>
      </c>
      <c r="F12" s="6">
        <v>299</v>
      </c>
      <c r="G12" s="5">
        <v>300</v>
      </c>
      <c r="H12" s="5">
        <v>287</v>
      </c>
      <c r="I12" s="6">
        <v>270</v>
      </c>
      <c r="J12" s="33"/>
      <c r="K12" s="9">
        <f t="shared" si="7"/>
        <v>3</v>
      </c>
      <c r="L12" s="9">
        <f t="shared" si="8"/>
        <v>1</v>
      </c>
      <c r="M12" s="9">
        <f t="shared" si="9"/>
        <v>4</v>
      </c>
      <c r="N12" s="9">
        <f t="shared" si="10"/>
        <v>0</v>
      </c>
      <c r="O12" s="9">
        <f t="shared" si="11"/>
        <v>0</v>
      </c>
      <c r="P12" s="14" t="str">
        <f t="shared" si="12"/>
        <v>Wesel 2</v>
      </c>
      <c r="Q12" s="14" t="str">
        <f t="shared" si="12"/>
        <v>1.MSC Wesel</v>
      </c>
      <c r="R12" s="3"/>
    </row>
    <row r="13" spans="1:18" ht="12.75">
      <c r="A13" s="2" t="s">
        <v>293</v>
      </c>
      <c r="B13" s="2" t="s">
        <v>255</v>
      </c>
      <c r="C13" s="4" t="s">
        <v>166</v>
      </c>
      <c r="D13" s="5">
        <v>321</v>
      </c>
      <c r="E13" s="5"/>
      <c r="F13" s="6">
        <v>303</v>
      </c>
      <c r="G13" s="5">
        <v>298</v>
      </c>
      <c r="H13" s="5">
        <v>306</v>
      </c>
      <c r="I13" s="6">
        <v>312</v>
      </c>
      <c r="J13" s="33"/>
      <c r="K13" s="9">
        <f t="shared" si="7"/>
        <v>3</v>
      </c>
      <c r="L13" s="9">
        <f t="shared" si="8"/>
        <v>1</v>
      </c>
      <c r="M13" s="9">
        <f t="shared" si="9"/>
        <v>5</v>
      </c>
      <c r="N13" s="9">
        <f t="shared" si="10"/>
        <v>0</v>
      </c>
      <c r="O13" s="9">
        <f t="shared" si="11"/>
        <v>0</v>
      </c>
      <c r="P13" s="14" t="str">
        <f t="shared" si="12"/>
        <v>Wesel 3</v>
      </c>
      <c r="Q13" s="14" t="str">
        <f t="shared" si="12"/>
        <v>1.MSC Wesel</v>
      </c>
      <c r="R13" s="3"/>
    </row>
    <row r="14" spans="1:18" ht="12.75">
      <c r="A14" s="2" t="s">
        <v>294</v>
      </c>
      <c r="B14" s="2" t="s">
        <v>255</v>
      </c>
      <c r="C14" s="4" t="s">
        <v>166</v>
      </c>
      <c r="D14" s="5">
        <v>303</v>
      </c>
      <c r="E14" s="5">
        <v>330</v>
      </c>
      <c r="F14" s="6">
        <v>322</v>
      </c>
      <c r="G14" s="5">
        <v>306</v>
      </c>
      <c r="H14" s="5">
        <v>287</v>
      </c>
      <c r="I14" s="6">
        <v>319</v>
      </c>
      <c r="J14" s="33"/>
      <c r="K14" s="9">
        <f t="shared" si="7"/>
        <v>3</v>
      </c>
      <c r="L14" s="9">
        <f t="shared" si="8"/>
        <v>1</v>
      </c>
      <c r="M14" s="9">
        <f t="shared" si="9"/>
        <v>6</v>
      </c>
      <c r="N14" s="9">
        <f t="shared" si="10"/>
        <v>0</v>
      </c>
      <c r="O14" s="9">
        <f t="shared" si="11"/>
        <v>0</v>
      </c>
      <c r="P14" s="14" t="str">
        <f t="shared" si="12"/>
        <v>Wesel 4</v>
      </c>
      <c r="Q14" s="14" t="str">
        <f t="shared" si="12"/>
        <v>1.MSC Wesel</v>
      </c>
      <c r="R14" s="3"/>
    </row>
    <row r="15" spans="1:18" ht="12.75">
      <c r="A15" s="2" t="s">
        <v>295</v>
      </c>
      <c r="B15" s="2" t="s">
        <v>255</v>
      </c>
      <c r="C15" s="4" t="s">
        <v>166</v>
      </c>
      <c r="D15" s="5">
        <v>392</v>
      </c>
      <c r="E15" s="5"/>
      <c r="F15" s="6"/>
      <c r="G15" s="5"/>
      <c r="H15" s="5"/>
      <c r="I15" s="6"/>
      <c r="J15" s="33"/>
      <c r="K15" s="9">
        <f t="shared" si="7"/>
        <v>3</v>
      </c>
      <c r="L15" s="9">
        <f t="shared" si="8"/>
        <v>1</v>
      </c>
      <c r="M15" s="9">
        <f t="shared" si="9"/>
        <v>7</v>
      </c>
      <c r="N15" s="9">
        <f t="shared" si="10"/>
        <v>0</v>
      </c>
      <c r="O15" s="9">
        <f t="shared" si="11"/>
        <v>0</v>
      </c>
      <c r="P15" s="14" t="str">
        <f t="shared" si="12"/>
        <v>Wesel 5</v>
      </c>
      <c r="Q15" s="14" t="str">
        <f t="shared" si="12"/>
        <v>1.MSC Wesel</v>
      </c>
      <c r="R15" s="3"/>
    </row>
    <row r="16" spans="1:18" ht="12.75">
      <c r="A16" s="2"/>
      <c r="B16" s="2"/>
      <c r="C16" s="4"/>
      <c r="D16" s="5"/>
      <c r="E16" s="5"/>
      <c r="F16" s="6"/>
      <c r="G16" s="5"/>
      <c r="H16" s="5"/>
      <c r="I16" s="6"/>
      <c r="J16" s="33"/>
      <c r="K16" s="9">
        <f t="shared" si="7"/>
        <v>3</v>
      </c>
      <c r="L16" s="9">
        <f t="shared" si="8"/>
        <v>1</v>
      </c>
      <c r="M16" s="9">
        <f t="shared" si="9"/>
        <v>7</v>
      </c>
      <c r="N16" s="9">
        <f t="shared" si="10"/>
        <v>0</v>
      </c>
      <c r="O16" s="9">
        <f t="shared" si="11"/>
        <v>0</v>
      </c>
      <c r="P16" s="14">
        <f t="shared" si="5"/>
        <v>0</v>
      </c>
      <c r="Q16" s="14">
        <f t="shared" si="6"/>
        <v>0</v>
      </c>
      <c r="R16" s="3"/>
    </row>
    <row r="17" spans="1:18" ht="12.75">
      <c r="A17" s="2" t="s">
        <v>296</v>
      </c>
      <c r="B17" s="2" t="s">
        <v>277</v>
      </c>
      <c r="C17" s="4" t="s">
        <v>157</v>
      </c>
      <c r="D17" s="5">
        <v>633</v>
      </c>
      <c r="E17" s="5">
        <v>591</v>
      </c>
      <c r="F17" s="6">
        <v>561</v>
      </c>
      <c r="G17" s="5">
        <v>593</v>
      </c>
      <c r="H17" s="5">
        <v>540</v>
      </c>
      <c r="I17" s="6">
        <v>578</v>
      </c>
      <c r="J17" s="33"/>
      <c r="K17" s="9">
        <f t="shared" si="7"/>
        <v>4</v>
      </c>
      <c r="L17" s="9">
        <f t="shared" si="8"/>
        <v>1</v>
      </c>
      <c r="M17" s="9">
        <f t="shared" si="9"/>
        <v>7</v>
      </c>
      <c r="N17" s="9">
        <f t="shared" si="10"/>
        <v>0</v>
      </c>
      <c r="O17" s="9">
        <f t="shared" si="11"/>
        <v>0</v>
      </c>
      <c r="P17" s="14" t="str">
        <f t="shared" si="5"/>
        <v>Neviges 1</v>
      </c>
      <c r="Q17" s="14" t="str">
        <f t="shared" si="6"/>
        <v>MGC Neviges</v>
      </c>
      <c r="R17" s="3"/>
    </row>
    <row r="18" spans="1:18" ht="12.75">
      <c r="A18" s="2" t="s">
        <v>297</v>
      </c>
      <c r="B18" s="2" t="s">
        <v>277</v>
      </c>
      <c r="C18" s="4" t="s">
        <v>166</v>
      </c>
      <c r="D18" s="5">
        <v>309</v>
      </c>
      <c r="E18" s="5">
        <v>280</v>
      </c>
      <c r="F18" s="6">
        <v>287</v>
      </c>
      <c r="G18" s="5">
        <v>306</v>
      </c>
      <c r="H18" s="5">
        <v>267</v>
      </c>
      <c r="I18" s="6">
        <v>299</v>
      </c>
      <c r="J18" s="33"/>
      <c r="K18" s="9">
        <f t="shared" si="7"/>
        <v>4</v>
      </c>
      <c r="L18" s="9">
        <f t="shared" si="8"/>
        <v>1</v>
      </c>
      <c r="M18" s="9">
        <f t="shared" si="9"/>
        <v>8</v>
      </c>
      <c r="N18" s="9">
        <f t="shared" si="10"/>
        <v>0</v>
      </c>
      <c r="O18" s="9">
        <f t="shared" si="11"/>
        <v>0</v>
      </c>
      <c r="P18" s="14" t="str">
        <f t="shared" si="5"/>
        <v>Neviges 2</v>
      </c>
      <c r="Q18" s="14" t="str">
        <f t="shared" si="6"/>
        <v>MGC Neviges</v>
      </c>
      <c r="R18" s="3"/>
    </row>
    <row r="19" spans="1:18" ht="12.75">
      <c r="A19" s="2" t="s">
        <v>298</v>
      </c>
      <c r="B19" s="2" t="s">
        <v>277</v>
      </c>
      <c r="C19" s="4" t="s">
        <v>166</v>
      </c>
      <c r="D19" s="5">
        <v>302</v>
      </c>
      <c r="E19" s="5">
        <v>311</v>
      </c>
      <c r="F19" s="6"/>
      <c r="G19" s="5"/>
      <c r="H19" s="5"/>
      <c r="I19" s="6"/>
      <c r="J19" s="33"/>
      <c r="K19" s="9">
        <f t="shared" si="7"/>
        <v>4</v>
      </c>
      <c r="L19" s="9">
        <f t="shared" si="8"/>
        <v>1</v>
      </c>
      <c r="M19" s="9">
        <f t="shared" si="9"/>
        <v>9</v>
      </c>
      <c r="N19" s="9">
        <f t="shared" si="10"/>
        <v>0</v>
      </c>
      <c r="O19" s="9">
        <f t="shared" si="11"/>
        <v>0</v>
      </c>
      <c r="P19" s="14" t="str">
        <f t="shared" si="5"/>
        <v>Neviges 3</v>
      </c>
      <c r="Q19" s="14" t="str">
        <f t="shared" si="6"/>
        <v>MGC Neviges</v>
      </c>
      <c r="R19" s="3"/>
    </row>
    <row r="20" spans="1:18" ht="12.75">
      <c r="A20" s="2" t="s">
        <v>299</v>
      </c>
      <c r="B20" s="2" t="s">
        <v>277</v>
      </c>
      <c r="C20" s="4" t="s">
        <v>153</v>
      </c>
      <c r="D20" s="5">
        <v>326</v>
      </c>
      <c r="E20" s="5">
        <v>312</v>
      </c>
      <c r="F20" s="6">
        <v>317</v>
      </c>
      <c r="G20" s="5">
        <v>322</v>
      </c>
      <c r="H20" s="5">
        <v>307</v>
      </c>
      <c r="I20" s="6">
        <v>304</v>
      </c>
      <c r="J20" s="33"/>
      <c r="K20" s="9">
        <f t="shared" si="7"/>
        <v>4</v>
      </c>
      <c r="L20" s="9">
        <f t="shared" si="8"/>
        <v>2</v>
      </c>
      <c r="M20" s="9">
        <f t="shared" si="9"/>
        <v>9</v>
      </c>
      <c r="N20" s="9">
        <f t="shared" si="10"/>
        <v>0</v>
      </c>
      <c r="O20" s="9">
        <f t="shared" si="11"/>
        <v>0</v>
      </c>
      <c r="P20" s="14" t="str">
        <f t="shared" si="5"/>
        <v>Neviges 4</v>
      </c>
      <c r="Q20" s="14" t="str">
        <f t="shared" si="6"/>
        <v>MGC Neviges</v>
      </c>
      <c r="R20" s="3"/>
    </row>
    <row r="21" spans="1:18" ht="12.75">
      <c r="A21" s="2"/>
      <c r="B21" s="2"/>
      <c r="C21" s="4"/>
      <c r="D21" s="5"/>
      <c r="E21" s="5"/>
      <c r="F21" s="6"/>
      <c r="G21" s="6"/>
      <c r="H21" s="6"/>
      <c r="I21" s="6"/>
      <c r="J21" s="33"/>
      <c r="K21" s="9">
        <f t="shared" si="7"/>
        <v>4</v>
      </c>
      <c r="L21" s="9">
        <f t="shared" si="8"/>
        <v>2</v>
      </c>
      <c r="M21" s="9">
        <f t="shared" si="9"/>
        <v>9</v>
      </c>
      <c r="N21" s="9">
        <f t="shared" si="10"/>
        <v>0</v>
      </c>
      <c r="O21" s="9">
        <f t="shared" si="11"/>
        <v>0</v>
      </c>
      <c r="P21" s="14">
        <f t="shared" si="5"/>
        <v>0</v>
      </c>
      <c r="Q21" s="14">
        <f t="shared" si="6"/>
        <v>0</v>
      </c>
      <c r="R21" s="3"/>
    </row>
    <row r="22" spans="1:18" ht="12.75">
      <c r="A22" s="2" t="s">
        <v>300</v>
      </c>
      <c r="B22" s="2" t="s">
        <v>290</v>
      </c>
      <c r="C22" s="4" t="s">
        <v>157</v>
      </c>
      <c r="D22" s="5">
        <v>626</v>
      </c>
      <c r="E22" s="5">
        <v>570</v>
      </c>
      <c r="F22" s="6">
        <v>576</v>
      </c>
      <c r="G22" s="6">
        <v>578</v>
      </c>
      <c r="H22" s="6">
        <v>626</v>
      </c>
      <c r="I22" s="6">
        <v>601</v>
      </c>
      <c r="J22" s="33"/>
      <c r="K22" s="9">
        <f t="shared" si="7"/>
        <v>5</v>
      </c>
      <c r="L22" s="9">
        <f t="shared" si="8"/>
        <v>2</v>
      </c>
      <c r="M22" s="9">
        <f t="shared" si="9"/>
        <v>9</v>
      </c>
      <c r="N22" s="9">
        <f t="shared" si="10"/>
        <v>0</v>
      </c>
      <c r="O22" s="9">
        <f t="shared" si="11"/>
        <v>0</v>
      </c>
      <c r="P22" s="14" t="str">
        <f t="shared" si="5"/>
        <v>Uerdingen 1</v>
      </c>
      <c r="Q22" s="14" t="str">
        <f t="shared" si="6"/>
        <v>BGC Uerdingen</v>
      </c>
      <c r="R22" s="3"/>
    </row>
    <row r="23" spans="1:18" ht="12.75">
      <c r="A23" s="2" t="s">
        <v>301</v>
      </c>
      <c r="B23" s="2" t="s">
        <v>290</v>
      </c>
      <c r="C23" s="4" t="s">
        <v>166</v>
      </c>
      <c r="D23" s="5">
        <v>322</v>
      </c>
      <c r="E23" s="5">
        <v>281</v>
      </c>
      <c r="F23" s="6">
        <v>301</v>
      </c>
      <c r="G23" s="6">
        <v>288</v>
      </c>
      <c r="H23" s="6">
        <v>306</v>
      </c>
      <c r="I23" s="6">
        <v>296</v>
      </c>
      <c r="J23" s="33"/>
      <c r="K23" s="9">
        <f t="shared" si="7"/>
        <v>5</v>
      </c>
      <c r="L23" s="9">
        <f t="shared" si="8"/>
        <v>2</v>
      </c>
      <c r="M23" s="9">
        <f t="shared" si="9"/>
        <v>10</v>
      </c>
      <c r="N23" s="9">
        <f t="shared" si="10"/>
        <v>0</v>
      </c>
      <c r="O23" s="9">
        <f t="shared" si="11"/>
        <v>0</v>
      </c>
      <c r="P23" s="14" t="str">
        <f t="shared" si="5"/>
        <v>Uerdingen 2</v>
      </c>
      <c r="Q23" s="14" t="str">
        <f t="shared" si="6"/>
        <v>BGC Uerdingen</v>
      </c>
      <c r="R23" s="3"/>
    </row>
    <row r="24" spans="1:18" ht="12.75">
      <c r="A24" s="2" t="s">
        <v>302</v>
      </c>
      <c r="B24" s="2" t="s">
        <v>290</v>
      </c>
      <c r="C24" s="4" t="s">
        <v>166</v>
      </c>
      <c r="D24" s="5">
        <v>340</v>
      </c>
      <c r="E24" s="5">
        <v>306</v>
      </c>
      <c r="F24" s="6"/>
      <c r="G24" s="6"/>
      <c r="H24" s="6"/>
      <c r="I24" s="6"/>
      <c r="J24" s="33"/>
      <c r="K24" s="9">
        <f t="shared" si="7"/>
        <v>5</v>
      </c>
      <c r="L24" s="9">
        <f t="shared" si="8"/>
        <v>2</v>
      </c>
      <c r="M24" s="9">
        <f t="shared" si="9"/>
        <v>11</v>
      </c>
      <c r="N24" s="9">
        <f t="shared" si="10"/>
        <v>0</v>
      </c>
      <c r="O24" s="9">
        <f t="shared" si="11"/>
        <v>0</v>
      </c>
      <c r="P24" s="14" t="str">
        <f t="shared" si="5"/>
        <v>Uerdingen 3</v>
      </c>
      <c r="Q24" s="14" t="str">
        <f t="shared" si="6"/>
        <v>BGC Uerdingen</v>
      </c>
      <c r="R24" s="3"/>
    </row>
    <row r="25" spans="1:18" ht="12.75">
      <c r="A25" s="2"/>
      <c r="B25" s="2"/>
      <c r="C25" s="4"/>
      <c r="D25" s="5"/>
      <c r="E25" s="5"/>
      <c r="F25" s="6"/>
      <c r="G25" s="6"/>
      <c r="H25" s="6"/>
      <c r="I25" s="6"/>
      <c r="J25" s="33"/>
      <c r="K25" s="9">
        <f t="shared" si="7"/>
        <v>5</v>
      </c>
      <c r="L25" s="9">
        <f t="shared" si="8"/>
        <v>2</v>
      </c>
      <c r="M25" s="9">
        <f t="shared" si="9"/>
        <v>11</v>
      </c>
      <c r="N25" s="9">
        <f t="shared" si="10"/>
        <v>0</v>
      </c>
      <c r="O25" s="9">
        <f t="shared" si="11"/>
        <v>0</v>
      </c>
      <c r="P25" s="14">
        <f t="shared" si="5"/>
        <v>0</v>
      </c>
      <c r="Q25" s="14">
        <f t="shared" si="6"/>
        <v>0</v>
      </c>
      <c r="R25" s="3"/>
    </row>
    <row r="26" spans="1:18" ht="12.75">
      <c r="A26" s="2"/>
      <c r="B26" s="2"/>
      <c r="C26" s="4"/>
      <c r="D26" s="5"/>
      <c r="E26" s="5"/>
      <c r="F26" s="6"/>
      <c r="G26" s="6"/>
      <c r="H26" s="6"/>
      <c r="I26" s="6"/>
      <c r="J26" s="33"/>
      <c r="K26" s="9">
        <f t="shared" si="7"/>
        <v>5</v>
      </c>
      <c r="L26" s="9">
        <f t="shared" si="8"/>
        <v>2</v>
      </c>
      <c r="M26" s="9">
        <f t="shared" si="9"/>
        <v>11</v>
      </c>
      <c r="N26" s="9">
        <f t="shared" si="10"/>
        <v>0</v>
      </c>
      <c r="O26" s="9">
        <f t="shared" si="11"/>
        <v>0</v>
      </c>
      <c r="P26" s="14">
        <f t="shared" si="5"/>
        <v>0</v>
      </c>
      <c r="Q26" s="14">
        <f t="shared" si="6"/>
        <v>0</v>
      </c>
      <c r="R26" s="3"/>
    </row>
    <row r="27" spans="1:18" ht="13.5" thickBot="1">
      <c r="A27" s="2"/>
      <c r="B27" s="2"/>
      <c r="C27" s="4"/>
      <c r="D27" s="5"/>
      <c r="E27" s="5"/>
      <c r="F27" s="6"/>
      <c r="G27" s="6"/>
      <c r="H27" s="6"/>
      <c r="I27" s="6"/>
      <c r="J27" s="33"/>
      <c r="K27" s="9">
        <f t="shared" si="7"/>
        <v>5</v>
      </c>
      <c r="L27" s="9">
        <f t="shared" si="8"/>
        <v>2</v>
      </c>
      <c r="M27" s="9">
        <f t="shared" si="9"/>
        <v>11</v>
      </c>
      <c r="N27" s="9">
        <f t="shared" si="10"/>
        <v>0</v>
      </c>
      <c r="O27" s="9">
        <f t="shared" si="11"/>
        <v>0</v>
      </c>
      <c r="P27" s="14">
        <f>A27</f>
        <v>0</v>
      </c>
      <c r="Q27" s="14">
        <f>B27</f>
        <v>0</v>
      </c>
      <c r="R27" s="3"/>
    </row>
    <row r="28" spans="1:18" ht="13.5" thickBot="1">
      <c r="A28" s="39" t="s">
        <v>18</v>
      </c>
      <c r="B28" s="40" t="s">
        <v>18</v>
      </c>
      <c r="C28" s="40"/>
      <c r="D28" s="40">
        <f aca="true" t="shared" si="13" ref="D28:I28">COUNTIF(D3:D27,"&gt;0")</f>
        <v>18</v>
      </c>
      <c r="E28" s="40">
        <f t="shared" si="13"/>
        <v>16</v>
      </c>
      <c r="F28" s="40">
        <f t="shared" si="13"/>
        <v>15</v>
      </c>
      <c r="G28" s="40">
        <f t="shared" si="13"/>
        <v>15</v>
      </c>
      <c r="H28" s="40">
        <f t="shared" si="13"/>
        <v>14</v>
      </c>
      <c r="I28" s="43">
        <f t="shared" si="13"/>
        <v>15</v>
      </c>
      <c r="J28" s="42"/>
      <c r="K28" s="29">
        <f t="shared" si="7"/>
        <v>5</v>
      </c>
      <c r="L28" s="30">
        <f t="shared" si="8"/>
        <v>2</v>
      </c>
      <c r="M28" s="30">
        <f t="shared" si="9"/>
        <v>11</v>
      </c>
      <c r="N28" s="30">
        <f t="shared" si="10"/>
        <v>0</v>
      </c>
      <c r="O28" s="31">
        <f t="shared" si="11"/>
        <v>0</v>
      </c>
      <c r="P28" s="37" t="str">
        <f>A28</f>
        <v>ZZZZZZZZZZ</v>
      </c>
      <c r="Q28" s="37" t="str">
        <f>B28</f>
        <v>ZZZZZZZZZZ</v>
      </c>
      <c r="R28" s="3"/>
    </row>
    <row r="29" spans="1:9" ht="13.5" thickBot="1">
      <c r="A29" s="35"/>
      <c r="B29" s="35"/>
      <c r="C29" s="35"/>
      <c r="D29" s="35"/>
      <c r="E29" s="35"/>
      <c r="F29" s="35"/>
      <c r="G29" s="35"/>
      <c r="H29" s="35"/>
      <c r="I29" s="45">
        <f>COUNTIF(D28:I28,"&gt;0")</f>
        <v>6</v>
      </c>
    </row>
    <row r="30" ht="12.75">
      <c r="A30" s="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&amp;R&amp;8Andreas Reese, MGC "AS" Witten `63 e.V.
&amp;F, [&amp;A],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3"/>
  <sheetViews>
    <sheetView tabSelected="1" view="pageBreakPreview" zoomScale="75" zoomScaleSheetLayoutView="75" workbookViewId="0" topLeftCell="A1">
      <selection activeCell="AE90" sqref="AE90"/>
    </sheetView>
  </sheetViews>
  <sheetFormatPr defaultColWidth="11.421875" defaultRowHeight="12.75"/>
  <cols>
    <col min="1" max="1" width="3.7109375" style="52" customWidth="1"/>
    <col min="2" max="2" width="16.7109375" style="3" customWidth="1"/>
    <col min="3" max="3" width="16.7109375" style="3" hidden="1" customWidth="1"/>
    <col min="4" max="12" width="6.7109375" style="3" hidden="1" customWidth="1"/>
    <col min="13" max="14" width="8.7109375" style="3" hidden="1" customWidth="1"/>
    <col min="15" max="15" width="8.57421875" style="3" hidden="1" customWidth="1"/>
    <col min="16" max="16" width="8.7109375" style="3" customWidth="1"/>
    <col min="17" max="20" width="8.7109375" style="11" hidden="1" customWidth="1"/>
    <col min="21" max="21" width="10.7109375" style="11" hidden="1" customWidth="1"/>
    <col min="22" max="22" width="3.7109375" style="3" hidden="1" customWidth="1"/>
    <col min="23" max="23" width="10.7109375" style="11" hidden="1" customWidth="1"/>
    <col min="24" max="24" width="11.421875" style="11" hidden="1" customWidth="1"/>
    <col min="25" max="25" width="3.7109375" style="12" customWidth="1"/>
    <col min="26" max="26" width="3.7109375" style="50" customWidth="1"/>
    <col min="27" max="27" width="19.57421875" style="52" customWidth="1"/>
    <col min="28" max="28" width="18.7109375" style="52" customWidth="1"/>
    <col min="29" max="30" width="11.421875" style="52" customWidth="1"/>
    <col min="31" max="31" width="11.57421875" style="52" bestFit="1" customWidth="1"/>
    <col min="32" max="37" width="11.7109375" style="52" customWidth="1"/>
    <col min="38" max="16384" width="11.421875" style="3" customWidth="1"/>
  </cols>
  <sheetData>
    <row r="1" spans="2:37" ht="12.75">
      <c r="B1" s="37"/>
      <c r="C1" s="62"/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/>
      <c r="K1" s="37"/>
      <c r="L1" s="37">
        <v>10</v>
      </c>
      <c r="M1" s="37"/>
      <c r="N1" s="37"/>
      <c r="O1" s="37"/>
      <c r="P1" s="37"/>
      <c r="Q1" s="63"/>
      <c r="R1" s="63"/>
      <c r="S1" s="63"/>
      <c r="T1" s="63"/>
      <c r="U1" s="63"/>
      <c r="V1" s="37"/>
      <c r="W1" s="63"/>
      <c r="X1" s="63">
        <v>2</v>
      </c>
      <c r="Y1" s="63"/>
      <c r="Z1" s="63">
        <v>12</v>
      </c>
      <c r="AA1" s="37">
        <v>2</v>
      </c>
      <c r="AB1" s="37">
        <v>3</v>
      </c>
      <c r="AC1" s="37">
        <v>16</v>
      </c>
      <c r="AD1" s="37">
        <v>15</v>
      </c>
      <c r="AE1" s="37">
        <v>17</v>
      </c>
      <c r="AF1" s="37">
        <v>4</v>
      </c>
      <c r="AG1" s="37">
        <v>5</v>
      </c>
      <c r="AH1" s="37">
        <v>6</v>
      </c>
      <c r="AI1" s="37">
        <v>7</v>
      </c>
      <c r="AJ1" s="37">
        <v>8</v>
      </c>
      <c r="AK1" s="37">
        <v>9</v>
      </c>
    </row>
    <row r="2" spans="2:37" ht="33">
      <c r="B2" s="64"/>
      <c r="C2" s="65"/>
      <c r="AE2" s="92" t="str">
        <f>'Eingabe Einzelspieler'!A136</f>
        <v>NBV, Abt. 1, Bezirksliga II</v>
      </c>
      <c r="AF2" s="93"/>
      <c r="AK2" s="94" t="str">
        <f>IF('Eingabe Einzelspieler'!I125=1,'Eingabe Einzelspieler'!B128,IF('Eingabe Einzelspieler'!I125=2,'Eingabe Einzelspieler'!B129,IF('Eingabe Einzelspieler'!I125=3,'Eingabe Einzelspieler'!B130,IF('Eingabe Einzelspieler'!I125=4,'Eingabe Einzelspieler'!B131,IF('Eingabe Einzelspieler'!I125=5,'Eingabe Einzelspieler'!B132,IF('Eingabe Einzelspieler'!I125=6,'Eingabe Einzelspieler'!B133,"noch nicht gespielt"))))))</f>
        <v>6. Spieltag, 27.06.04</v>
      </c>
    </row>
    <row r="3" spans="2:3" ht="12.75">
      <c r="B3" s="64"/>
      <c r="C3" s="65"/>
    </row>
    <row r="4" spans="2:37" ht="24" customHeight="1">
      <c r="B4" s="3" t="s">
        <v>0</v>
      </c>
      <c r="C4" s="3" t="s">
        <v>1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</v>
      </c>
      <c r="K4" s="11" t="s">
        <v>27</v>
      </c>
      <c r="L4" s="11" t="s">
        <v>94</v>
      </c>
      <c r="M4" s="71" t="s">
        <v>35</v>
      </c>
      <c r="N4" s="71" t="s">
        <v>34</v>
      </c>
      <c r="O4" s="11" t="s">
        <v>20</v>
      </c>
      <c r="P4" s="95" t="s">
        <v>29</v>
      </c>
      <c r="Q4" s="95" t="s">
        <v>33</v>
      </c>
      <c r="R4" s="71" t="s">
        <v>36</v>
      </c>
      <c r="S4" s="71" t="s">
        <v>37</v>
      </c>
      <c r="T4" s="71" t="s">
        <v>38</v>
      </c>
      <c r="U4" s="95" t="s">
        <v>93</v>
      </c>
      <c r="V4" s="71"/>
      <c r="W4" s="11" t="s">
        <v>28</v>
      </c>
      <c r="X4" s="11" t="s">
        <v>30</v>
      </c>
      <c r="Y4" s="64"/>
      <c r="Z4" s="79"/>
      <c r="AA4" s="58" t="s">
        <v>0</v>
      </c>
      <c r="AB4" s="58" t="s">
        <v>1</v>
      </c>
      <c r="AC4" s="73" t="s">
        <v>2</v>
      </c>
      <c r="AD4" s="12" t="s">
        <v>20</v>
      </c>
      <c r="AE4" s="73" t="s">
        <v>43</v>
      </c>
      <c r="AF4" s="73" t="str">
        <f>'Eingabe Einzelspieler'!A128</f>
        <v>Witten-Herbede</v>
      </c>
      <c r="AG4" s="73" t="str">
        <f>'Eingabe Einzelspieler'!A129</f>
        <v>Uerdingen</v>
      </c>
      <c r="AH4" s="73" t="str">
        <f>'Eingabe Einzelspieler'!A130</f>
        <v>Bo-Langendreer</v>
      </c>
      <c r="AI4" s="73" t="str">
        <f>'Eingabe Einzelspieler'!A131</f>
        <v>Wesel</v>
      </c>
      <c r="AJ4" s="73" t="str">
        <f>'Eingabe Einzelspieler'!A132</f>
        <v>Neviges</v>
      </c>
      <c r="AK4" s="73" t="str">
        <f>'Eingabe Einzelspieler'!A133</f>
        <v>Ge-Bulmke</v>
      </c>
    </row>
    <row r="5" spans="4:37" ht="12.75" customHeight="1">
      <c r="D5" s="11"/>
      <c r="E5" s="11"/>
      <c r="F5" s="11"/>
      <c r="G5" s="11"/>
      <c r="H5" s="11"/>
      <c r="I5" s="11"/>
      <c r="J5" s="11"/>
      <c r="K5" s="11"/>
      <c r="L5" s="11"/>
      <c r="M5" s="71"/>
      <c r="N5" s="71"/>
      <c r="O5" s="11"/>
      <c r="P5" s="71"/>
      <c r="Q5" s="71"/>
      <c r="R5" s="71"/>
      <c r="S5" s="71"/>
      <c r="T5" s="71"/>
      <c r="U5" s="71"/>
      <c r="V5" s="71"/>
      <c r="Y5" s="64"/>
      <c r="Z5" s="50" t="s">
        <v>92</v>
      </c>
      <c r="AA5" s="58"/>
      <c r="AB5" s="58"/>
      <c r="AC5" s="73"/>
      <c r="AD5" s="12"/>
      <c r="AE5" s="73"/>
      <c r="AF5" s="73"/>
      <c r="AG5" s="73"/>
      <c r="AH5" s="73"/>
      <c r="AI5" s="73"/>
      <c r="AJ5" s="73"/>
      <c r="AK5" s="73"/>
    </row>
    <row r="6" spans="2:37" ht="12.75">
      <c r="B6" s="64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71"/>
      <c r="N6" s="71"/>
      <c r="O6" s="11"/>
      <c r="P6" s="71"/>
      <c r="Q6" s="71"/>
      <c r="R6" s="71"/>
      <c r="S6" s="71"/>
      <c r="T6" s="71"/>
      <c r="U6" s="71"/>
      <c r="V6" s="71"/>
      <c r="Y6" s="64" t="str">
        <f>B6</f>
        <v>Herren</v>
      </c>
      <c r="Z6" s="79"/>
      <c r="AA6" s="12"/>
      <c r="AB6" s="12"/>
      <c r="AC6" s="73"/>
      <c r="AD6" s="12"/>
      <c r="AE6" s="73"/>
      <c r="AF6" s="73"/>
      <c r="AG6" s="73"/>
      <c r="AH6" s="73"/>
      <c r="AI6" s="73"/>
      <c r="AJ6" s="73"/>
      <c r="AK6" s="73"/>
    </row>
    <row r="7" spans="1:37" ht="12.75">
      <c r="A7" s="52">
        <v>1</v>
      </c>
      <c r="B7" s="14" t="str">
        <f>VLOOKUP($A7,'Eingabe Einzelspieler'!$K$2:$V$124,11,FALSE)</f>
        <v>Gregorszewski, K</v>
      </c>
      <c r="C7" s="14" t="str">
        <f>VLOOKUP($A7,'Eingabe Einzelspieler'!$K$2:$V$124,12,FALSE)</f>
        <v>MGC "AS" Witten</v>
      </c>
      <c r="D7" s="34">
        <f>IF($B7="",0,VLOOKUP($B7,'Eingabe Einzelspieler'!$A$2:$P$124,D$1,FALSE))</f>
        <v>98</v>
      </c>
      <c r="E7" s="34">
        <f>IF($B7="",0,VLOOKUP($B7,'Eingabe Einzelspieler'!$A$2:$P$124,E$1,FALSE))</f>
        <v>98</v>
      </c>
      <c r="F7" s="34">
        <f>IF($B7="",0,VLOOKUP($B7,'Eingabe Einzelspieler'!$A$2:$P$124,F$1,FALSE))</f>
        <v>0</v>
      </c>
      <c r="G7" s="34">
        <f>IF($B7="",0,VLOOKUP($B7,'Eingabe Einzelspieler'!$A$2:$P$124,G$1,FALSE))</f>
        <v>0</v>
      </c>
      <c r="H7" s="34">
        <f>IF($B7="",0,VLOOKUP($B7,'Eingabe Einzelspieler'!$A$2:$P$124,H$1,FALSE))</f>
        <v>0</v>
      </c>
      <c r="I7" s="34">
        <f>IF($B7="",0,VLOOKUP($B7,'Eingabe Einzelspieler'!$A$2:$P$124,I$1,FALSE))</f>
        <v>0</v>
      </c>
      <c r="J7" s="10">
        <f aca="true" t="shared" si="0" ref="J7:J32">SUM(D7:I7)</f>
        <v>196</v>
      </c>
      <c r="K7" s="10">
        <f aca="true" t="shared" si="1" ref="K7:K32">COUNTIF(D7:I7,"&gt;0")</f>
        <v>2</v>
      </c>
      <c r="L7" s="10">
        <f>IF($B7="",0,VLOOKUP($B7,'Eingabe Einzelspieler'!$A$2:$P$124,L$1,FALSE))</f>
        <v>0</v>
      </c>
      <c r="M7" s="10">
        <f>IF(('Eingabe Einzelspieler'!$I$125-1)&gt;K7,1,"")</f>
        <v>1</v>
      </c>
      <c r="N7" s="10">
        <f>IF('Eingabe Einzelspieler'!$I$125=1,0,IF(K7='Eingabe Einzelspieler'!$I$125,1,0))</f>
        <v>0</v>
      </c>
      <c r="O7" s="10">
        <f aca="true" t="shared" si="2" ref="O7:O12">IF(N7=1,LARGE(D7:I7,1),"")</f>
      </c>
      <c r="P7" s="10" t="str">
        <f aca="true" t="shared" si="3" ref="P7:P32">IF(M7=1,"ADW",IF(N7=1,SUM(J7-O7),J7))</f>
        <v>ADW</v>
      </c>
      <c r="Q7" s="82">
        <f aca="true" t="shared" si="4" ref="Q7:Q32">IF(J7=0,0,IF(AND(K7=1,N7=1),J7/3,IF(M7=1,"",IF(N7=0,P7/K7/3,P7/(K7-N7)/3))))</f>
      </c>
      <c r="R7" s="83">
        <f aca="true" t="shared" si="5" ref="R7:R32">IF(M7=1,100,RANK(P7,$P$7:$P$32,1))</f>
        <v>100</v>
      </c>
      <c r="S7" s="83">
        <f>COUNTIF(R$7:R7,R7)</f>
        <v>1</v>
      </c>
      <c r="T7" s="83">
        <f aca="true" t="shared" si="6" ref="T7:T32">R7+S7-1</f>
        <v>100</v>
      </c>
      <c r="U7" s="88">
        <f aca="true" t="shared" si="7" ref="U7:U12">IF(M7=1,2500+(T7/10000),P7+(T7/10000)+(L7/10))</f>
        <v>2500.01</v>
      </c>
      <c r="V7" s="34">
        <f aca="true" t="shared" si="8" ref="V7:V32">A7</f>
        <v>1</v>
      </c>
      <c r="W7" s="88">
        <f aca="true" t="shared" si="9" ref="W7:W32">SMALL(U$7:U$32,A7)</f>
        <v>435.0001</v>
      </c>
      <c r="X7" s="83">
        <f aca="true" t="shared" si="10" ref="X7:X32">VLOOKUP(W7,U$7:V$32,$X$1,FALSE)</f>
        <v>4</v>
      </c>
      <c r="Y7" s="12">
        <f aca="true" t="shared" si="11" ref="Y7:Y32">A7</f>
        <v>1</v>
      </c>
      <c r="Z7" s="50">
        <f aca="true" t="shared" si="12" ref="Z7:Z32">IF(VLOOKUP($X7,$A$7:$X$32,Z$1,FALSE)&gt;0,"x",0)</f>
        <v>0</v>
      </c>
      <c r="AA7" s="101" t="str">
        <f aca="true" t="shared" si="13" ref="AA7:AK16">VLOOKUP($X7,$A$7:$X$32,AA$1,FALSE)</f>
        <v>Reese, A</v>
      </c>
      <c r="AB7" s="101" t="str">
        <f t="shared" si="13"/>
        <v>MGC "AS" Witten</v>
      </c>
      <c r="AC7" s="102">
        <f t="shared" si="13"/>
        <v>435</v>
      </c>
      <c r="AD7" s="55">
        <f t="shared" si="13"/>
        <v>96</v>
      </c>
      <c r="AE7" s="56">
        <f t="shared" si="13"/>
        <v>29</v>
      </c>
      <c r="AF7" s="12">
        <f t="shared" si="13"/>
        <v>96</v>
      </c>
      <c r="AG7" s="12">
        <f t="shared" si="13"/>
        <v>85</v>
      </c>
      <c r="AH7" s="12">
        <f t="shared" si="13"/>
        <v>87</v>
      </c>
      <c r="AI7" s="12">
        <f t="shared" si="13"/>
        <v>89</v>
      </c>
      <c r="AJ7" s="12">
        <f t="shared" si="13"/>
        <v>85</v>
      </c>
      <c r="AK7" s="12">
        <f t="shared" si="13"/>
        <v>89</v>
      </c>
    </row>
    <row r="8" spans="1:37" ht="12.75">
      <c r="A8" s="52">
        <v>2</v>
      </c>
      <c r="B8" s="14" t="str">
        <f>VLOOKUP($A8,'Eingabe Einzelspieler'!$K$2:$V$124,11,FALSE)</f>
        <v>Klein, T</v>
      </c>
      <c r="C8" s="14" t="str">
        <f>VLOOKUP($A8,'Eingabe Einzelspieler'!$K$2:$V$124,12,FALSE)</f>
        <v>MGC "AS" Witten</v>
      </c>
      <c r="D8" s="34">
        <f>IF($B8="",0,VLOOKUP($B8,'Eingabe Einzelspieler'!$A$2:$P$124,D$1,FALSE))</f>
        <v>96</v>
      </c>
      <c r="E8" s="34">
        <f>IF($B8="",0,VLOOKUP($B8,'Eingabe Einzelspieler'!$A$2:$P$124,E$1,FALSE))</f>
        <v>98</v>
      </c>
      <c r="F8" s="34">
        <f>IF($B8="",0,VLOOKUP($B8,'Eingabe Einzelspieler'!$A$2:$P$124,F$1,FALSE))</f>
        <v>82</v>
      </c>
      <c r="G8" s="34">
        <f>IF($B8="",0,VLOOKUP($B8,'Eingabe Einzelspieler'!$A$2:$P$124,G$1,FALSE))</f>
        <v>86</v>
      </c>
      <c r="H8" s="34">
        <f>IF($B8="",0,VLOOKUP($B8,'Eingabe Einzelspieler'!$A$2:$P$124,H$1,FALSE))</f>
        <v>95</v>
      </c>
      <c r="I8" s="34">
        <f>IF($B8="",0,VLOOKUP($B8,'Eingabe Einzelspieler'!$A$2:$P$124,I$1,FALSE))</f>
        <v>87</v>
      </c>
      <c r="J8" s="10">
        <f t="shared" si="0"/>
        <v>544</v>
      </c>
      <c r="K8" s="10">
        <f t="shared" si="1"/>
        <v>6</v>
      </c>
      <c r="L8" s="10">
        <f>IF($B8="",0,VLOOKUP($B8,'Eingabe Einzelspieler'!$A$2:$P$124,L$1,FALSE))</f>
        <v>0</v>
      </c>
      <c r="M8" s="10">
        <f>IF(('Eingabe Einzelspieler'!$I$125-1)&gt;K8,1,"")</f>
      </c>
      <c r="N8" s="10">
        <f>IF('Eingabe Einzelspieler'!$I$125=1,0,IF(K8='Eingabe Einzelspieler'!$I$125,1,0))</f>
        <v>1</v>
      </c>
      <c r="O8" s="10">
        <f t="shared" si="2"/>
        <v>98</v>
      </c>
      <c r="P8" s="10">
        <f t="shared" si="3"/>
        <v>446</v>
      </c>
      <c r="Q8" s="82">
        <f t="shared" si="4"/>
        <v>29.733333333333334</v>
      </c>
      <c r="R8" s="83">
        <f t="shared" si="5"/>
        <v>2</v>
      </c>
      <c r="S8" s="83">
        <f>COUNTIF(R$7:R8,R8)</f>
        <v>1</v>
      </c>
      <c r="T8" s="83">
        <f t="shared" si="6"/>
        <v>2</v>
      </c>
      <c r="U8" s="88">
        <f t="shared" si="7"/>
        <v>446.0002</v>
      </c>
      <c r="V8" s="34">
        <f t="shared" si="8"/>
        <v>2</v>
      </c>
      <c r="W8" s="88">
        <f t="shared" si="9"/>
        <v>446.0002</v>
      </c>
      <c r="X8" s="83">
        <f t="shared" si="10"/>
        <v>2</v>
      </c>
      <c r="Y8" s="12">
        <f t="shared" si="11"/>
        <v>2</v>
      </c>
      <c r="Z8" s="50">
        <f t="shared" si="12"/>
        <v>0</v>
      </c>
      <c r="AA8" s="101" t="str">
        <f t="shared" si="13"/>
        <v>Klein, T</v>
      </c>
      <c r="AB8" s="101" t="str">
        <f t="shared" si="13"/>
        <v>MGC "AS" Witten</v>
      </c>
      <c r="AC8" s="102">
        <f t="shared" si="13"/>
        <v>446</v>
      </c>
      <c r="AD8" s="55">
        <f t="shared" si="13"/>
        <v>98</v>
      </c>
      <c r="AE8" s="56">
        <f t="shared" si="13"/>
        <v>29.733333333333334</v>
      </c>
      <c r="AF8" s="12">
        <f t="shared" si="13"/>
        <v>96</v>
      </c>
      <c r="AG8" s="12">
        <f t="shared" si="13"/>
        <v>98</v>
      </c>
      <c r="AH8" s="12">
        <f t="shared" si="13"/>
        <v>82</v>
      </c>
      <c r="AI8" s="12">
        <f t="shared" si="13"/>
        <v>86</v>
      </c>
      <c r="AJ8" s="12">
        <f t="shared" si="13"/>
        <v>95</v>
      </c>
      <c r="AK8" s="12">
        <f t="shared" si="13"/>
        <v>87</v>
      </c>
    </row>
    <row r="9" spans="1:37" ht="12.75">
      <c r="A9" s="52">
        <v>3</v>
      </c>
      <c r="B9" s="14" t="str">
        <f>VLOOKUP($A9,'Eingabe Einzelspieler'!$K$2:$V$124,11,FALSE)</f>
        <v>Krause, M</v>
      </c>
      <c r="C9" s="14" t="str">
        <f>VLOOKUP($A9,'Eingabe Einzelspieler'!$K$2:$V$124,12,FALSE)</f>
        <v>MGC "AS" Witten</v>
      </c>
      <c r="D9" s="34">
        <f>IF($B9="",0,VLOOKUP($B9,'Eingabe Einzelspieler'!$A$2:$P$124,D$1,FALSE))</f>
        <v>98</v>
      </c>
      <c r="E9" s="34">
        <f>IF($B9="",0,VLOOKUP($B9,'Eingabe Einzelspieler'!$A$2:$P$124,E$1,FALSE))</f>
        <v>0</v>
      </c>
      <c r="F9" s="34">
        <f>IF($B9="",0,VLOOKUP($B9,'Eingabe Einzelspieler'!$A$2:$P$124,F$1,FALSE))</f>
        <v>94</v>
      </c>
      <c r="G9" s="34">
        <f>IF($B9="",0,VLOOKUP($B9,'Eingabe Einzelspieler'!$A$2:$P$124,G$1,FALSE))</f>
        <v>106</v>
      </c>
      <c r="H9" s="34">
        <f>IF($B9="",0,VLOOKUP($B9,'Eingabe Einzelspieler'!$A$2:$P$124,H$1,FALSE))</f>
        <v>100</v>
      </c>
      <c r="I9" s="34">
        <f>IF($B9="",0,VLOOKUP($B9,'Eingabe Einzelspieler'!$A$2:$P$124,I$1,FALSE))</f>
        <v>104</v>
      </c>
      <c r="J9" s="10">
        <f t="shared" si="0"/>
        <v>502</v>
      </c>
      <c r="K9" s="10">
        <f t="shared" si="1"/>
        <v>5</v>
      </c>
      <c r="L9" s="10">
        <f>IF($B9="",0,VLOOKUP($B9,'Eingabe Einzelspieler'!$A$2:$P$124,L$1,FALSE))</f>
        <v>0</v>
      </c>
      <c r="M9" s="10">
        <f>IF(('Eingabe Einzelspieler'!$I$125-1)&gt;K9,1,"")</f>
      </c>
      <c r="N9" s="10">
        <f>IF('Eingabe Einzelspieler'!$I$125=1,0,IF(K9='Eingabe Einzelspieler'!$I$125,1,0))</f>
        <v>0</v>
      </c>
      <c r="O9" s="10">
        <f t="shared" si="2"/>
      </c>
      <c r="P9" s="10">
        <f t="shared" si="3"/>
        <v>502</v>
      </c>
      <c r="Q9" s="82">
        <f t="shared" si="4"/>
        <v>33.46666666666667</v>
      </c>
      <c r="R9" s="83">
        <f t="shared" si="5"/>
        <v>12</v>
      </c>
      <c r="S9" s="83">
        <f>COUNTIF(R$7:R9,R9)</f>
        <v>1</v>
      </c>
      <c r="T9" s="83">
        <f t="shared" si="6"/>
        <v>12</v>
      </c>
      <c r="U9" s="88">
        <f t="shared" si="7"/>
        <v>502.0012</v>
      </c>
      <c r="V9" s="34">
        <f t="shared" si="8"/>
        <v>3</v>
      </c>
      <c r="W9" s="88">
        <f t="shared" si="9"/>
        <v>471.0003</v>
      </c>
      <c r="X9" s="83">
        <f t="shared" si="10"/>
        <v>7</v>
      </c>
      <c r="Y9" s="12">
        <f t="shared" si="11"/>
        <v>3</v>
      </c>
      <c r="Z9" s="50">
        <f t="shared" si="12"/>
        <v>0</v>
      </c>
      <c r="AA9" s="52" t="str">
        <f t="shared" si="13"/>
        <v>Kaufmann, M</v>
      </c>
      <c r="AB9" s="52" t="str">
        <f t="shared" si="13"/>
        <v>1.MGC Gelsenkirchen</v>
      </c>
      <c r="AC9" s="12">
        <f t="shared" si="13"/>
        <v>471</v>
      </c>
      <c r="AD9" s="55">
        <f t="shared" si="13"/>
        <v>104</v>
      </c>
      <c r="AE9" s="56">
        <f t="shared" si="13"/>
        <v>31.400000000000002</v>
      </c>
      <c r="AF9" s="12">
        <f t="shared" si="13"/>
        <v>104</v>
      </c>
      <c r="AG9" s="12">
        <f t="shared" si="13"/>
        <v>91</v>
      </c>
      <c r="AH9" s="12">
        <f t="shared" si="13"/>
        <v>97</v>
      </c>
      <c r="AI9" s="12">
        <f t="shared" si="13"/>
        <v>93</v>
      </c>
      <c r="AJ9" s="12">
        <f t="shared" si="13"/>
        <v>98</v>
      </c>
      <c r="AK9" s="12">
        <f t="shared" si="13"/>
        <v>92</v>
      </c>
    </row>
    <row r="10" spans="1:37" ht="12.75">
      <c r="A10" s="52">
        <v>4</v>
      </c>
      <c r="B10" s="14" t="str">
        <f>VLOOKUP($A10,'Eingabe Einzelspieler'!$K$2:$V$124,11,FALSE)</f>
        <v>Reese, A</v>
      </c>
      <c r="C10" s="14" t="str">
        <f>VLOOKUP($A10,'Eingabe Einzelspieler'!$K$2:$V$124,12,FALSE)</f>
        <v>MGC "AS" Witten</v>
      </c>
      <c r="D10" s="34">
        <f>IF($B10="",0,VLOOKUP($B10,'Eingabe Einzelspieler'!$A$2:$P$124,D$1,FALSE))</f>
        <v>96</v>
      </c>
      <c r="E10" s="34">
        <f>IF($B10="",0,VLOOKUP($B10,'Eingabe Einzelspieler'!$A$2:$P$124,E$1,FALSE))</f>
        <v>85</v>
      </c>
      <c r="F10" s="34">
        <f>IF($B10="",0,VLOOKUP($B10,'Eingabe Einzelspieler'!$A$2:$P$124,F$1,FALSE))</f>
        <v>87</v>
      </c>
      <c r="G10" s="34">
        <f>IF($B10="",0,VLOOKUP($B10,'Eingabe Einzelspieler'!$A$2:$P$124,G$1,FALSE))</f>
        <v>89</v>
      </c>
      <c r="H10" s="34">
        <f>IF($B10="",0,VLOOKUP($B10,'Eingabe Einzelspieler'!$A$2:$P$124,H$1,FALSE))</f>
        <v>85</v>
      </c>
      <c r="I10" s="34">
        <f>IF($B10="",0,VLOOKUP($B10,'Eingabe Einzelspieler'!$A$2:$P$124,I$1,FALSE))</f>
        <v>89</v>
      </c>
      <c r="J10" s="10">
        <f t="shared" si="0"/>
        <v>531</v>
      </c>
      <c r="K10" s="10">
        <f t="shared" si="1"/>
        <v>6</v>
      </c>
      <c r="L10" s="10">
        <f>IF($B10="",0,VLOOKUP($B10,'Eingabe Einzelspieler'!$A$2:$P$124,L$1,FALSE))</f>
        <v>0</v>
      </c>
      <c r="M10" s="10">
        <f>IF(('Eingabe Einzelspieler'!$I$125-1)&gt;K10,1,"")</f>
      </c>
      <c r="N10" s="10">
        <f>IF('Eingabe Einzelspieler'!$I$125=1,0,IF(K10='Eingabe Einzelspieler'!$I$125,1,0))</f>
        <v>1</v>
      </c>
      <c r="O10" s="10">
        <f t="shared" si="2"/>
        <v>96</v>
      </c>
      <c r="P10" s="10">
        <f t="shared" si="3"/>
        <v>435</v>
      </c>
      <c r="Q10" s="82">
        <f t="shared" si="4"/>
        <v>29</v>
      </c>
      <c r="R10" s="83">
        <f t="shared" si="5"/>
        <v>1</v>
      </c>
      <c r="S10" s="83">
        <f>COUNTIF(R$7:R10,R10)</f>
        <v>1</v>
      </c>
      <c r="T10" s="83">
        <f t="shared" si="6"/>
        <v>1</v>
      </c>
      <c r="U10" s="88">
        <f t="shared" si="7"/>
        <v>435.0001</v>
      </c>
      <c r="V10" s="34">
        <f t="shared" si="8"/>
        <v>4</v>
      </c>
      <c r="W10" s="88">
        <f t="shared" si="9"/>
        <v>476.0004</v>
      </c>
      <c r="X10" s="83">
        <f t="shared" si="10"/>
        <v>18</v>
      </c>
      <c r="Y10" s="12">
        <f t="shared" si="11"/>
        <v>4</v>
      </c>
      <c r="Z10" s="50">
        <f t="shared" si="12"/>
        <v>0</v>
      </c>
      <c r="AA10" s="52" t="str">
        <f t="shared" si="13"/>
        <v>Dehne, J</v>
      </c>
      <c r="AB10" s="52" t="str">
        <f t="shared" si="13"/>
        <v>MGC Neviges</v>
      </c>
      <c r="AC10" s="12">
        <f t="shared" si="13"/>
        <v>476</v>
      </c>
      <c r="AD10" s="55">
        <f t="shared" si="13"/>
        <v>106</v>
      </c>
      <c r="AE10" s="56">
        <f t="shared" si="13"/>
        <v>31.733333333333334</v>
      </c>
      <c r="AF10" s="12">
        <f t="shared" si="13"/>
        <v>105</v>
      </c>
      <c r="AG10" s="12">
        <f t="shared" si="13"/>
        <v>99</v>
      </c>
      <c r="AH10" s="12">
        <f t="shared" si="13"/>
        <v>91</v>
      </c>
      <c r="AI10" s="12">
        <f t="shared" si="13"/>
        <v>106</v>
      </c>
      <c r="AJ10" s="12">
        <f t="shared" si="13"/>
        <v>87</v>
      </c>
      <c r="AK10" s="12">
        <f t="shared" si="13"/>
        <v>94</v>
      </c>
    </row>
    <row r="11" spans="1:37" ht="12.75">
      <c r="A11" s="52">
        <v>5</v>
      </c>
      <c r="B11" s="14" t="str">
        <f>VLOOKUP($A11,'Eingabe Einzelspieler'!$K$2:$V$124,11,FALSE)</f>
        <v>Tabor, P</v>
      </c>
      <c r="C11" s="14" t="str">
        <f>VLOOKUP($A11,'Eingabe Einzelspieler'!$K$2:$V$124,12,FALSE)</f>
        <v>MGC "AS" Witten</v>
      </c>
      <c r="D11" s="34">
        <f>IF($B11="",0,VLOOKUP($B11,'Eingabe Einzelspieler'!$A$2:$P$124,D$1,FALSE))</f>
        <v>96</v>
      </c>
      <c r="E11" s="34">
        <f>IF($B11="",0,VLOOKUP($B11,'Eingabe Einzelspieler'!$A$2:$P$124,E$1,FALSE))</f>
        <v>96</v>
      </c>
      <c r="F11" s="34">
        <f>IF($B11="",0,VLOOKUP($B11,'Eingabe Einzelspieler'!$A$2:$P$124,F$1,FALSE))</f>
        <v>98</v>
      </c>
      <c r="G11" s="34">
        <f>IF($B11="",0,VLOOKUP($B11,'Eingabe Einzelspieler'!$A$2:$P$124,G$1,FALSE))</f>
        <v>0</v>
      </c>
      <c r="H11" s="34">
        <f>IF($B11="",0,VLOOKUP($B11,'Eingabe Einzelspieler'!$A$2:$P$124,H$1,FALSE))</f>
        <v>98</v>
      </c>
      <c r="I11" s="34">
        <f>IF($B11="",0,VLOOKUP($B11,'Eingabe Einzelspieler'!$A$2:$P$124,I$1,FALSE))</f>
        <v>97</v>
      </c>
      <c r="J11" s="10">
        <f t="shared" si="0"/>
        <v>485</v>
      </c>
      <c r="K11" s="10">
        <f t="shared" si="1"/>
        <v>5</v>
      </c>
      <c r="L11" s="10">
        <f>IF($B11="",0,VLOOKUP($B11,'Eingabe Einzelspieler'!$A$2:$P$124,L$1,FALSE))</f>
        <v>0</v>
      </c>
      <c r="M11" s="10">
        <f>IF(('Eingabe Einzelspieler'!$I$125-1)&gt;K11,1,"")</f>
      </c>
      <c r="N11" s="10">
        <f>IF('Eingabe Einzelspieler'!$I$125=1,0,IF(K11='Eingabe Einzelspieler'!$I$125,1,0))</f>
        <v>0</v>
      </c>
      <c r="O11" s="10">
        <f t="shared" si="2"/>
      </c>
      <c r="P11" s="10">
        <f t="shared" si="3"/>
        <v>485</v>
      </c>
      <c r="Q11" s="82">
        <f t="shared" si="4"/>
        <v>32.333333333333336</v>
      </c>
      <c r="R11" s="83">
        <f t="shared" si="5"/>
        <v>7</v>
      </c>
      <c r="S11" s="83">
        <f>COUNTIF(R$7:R11,R11)</f>
        <v>1</v>
      </c>
      <c r="T11" s="83">
        <f t="shared" si="6"/>
        <v>7</v>
      </c>
      <c r="U11" s="88">
        <f t="shared" si="7"/>
        <v>485.0007</v>
      </c>
      <c r="V11" s="34">
        <f t="shared" si="8"/>
        <v>5</v>
      </c>
      <c r="W11" s="88">
        <f t="shared" si="9"/>
        <v>481.0005</v>
      </c>
      <c r="X11" s="83">
        <f t="shared" si="10"/>
        <v>15</v>
      </c>
      <c r="Y11" s="12">
        <f t="shared" si="11"/>
        <v>5</v>
      </c>
      <c r="Z11" s="50">
        <f t="shared" si="12"/>
        <v>0</v>
      </c>
      <c r="AA11" s="52" t="str">
        <f t="shared" si="13"/>
        <v>Triepel, S</v>
      </c>
      <c r="AB11" s="52" t="str">
        <f t="shared" si="13"/>
        <v>1.MSC Wesel</v>
      </c>
      <c r="AC11" s="12">
        <f t="shared" si="13"/>
        <v>481</v>
      </c>
      <c r="AD11" s="55">
        <f t="shared" si="13"/>
        <v>111</v>
      </c>
      <c r="AE11" s="56">
        <f t="shared" si="13"/>
        <v>32.06666666666667</v>
      </c>
      <c r="AF11" s="12">
        <f t="shared" si="13"/>
        <v>107</v>
      </c>
      <c r="AG11" s="12">
        <f t="shared" si="13"/>
        <v>97</v>
      </c>
      <c r="AH11" s="12">
        <f t="shared" si="13"/>
        <v>93</v>
      </c>
      <c r="AI11" s="12">
        <f t="shared" si="13"/>
        <v>91</v>
      </c>
      <c r="AJ11" s="12">
        <f t="shared" si="13"/>
        <v>111</v>
      </c>
      <c r="AK11" s="12">
        <f t="shared" si="13"/>
        <v>93</v>
      </c>
    </row>
    <row r="12" spans="1:37" ht="12.75">
      <c r="A12" s="52">
        <v>6</v>
      </c>
      <c r="B12" s="14" t="str">
        <f>VLOOKUP($A12,'Eingabe Einzelspieler'!$K$2:$V$124,11,FALSE)</f>
        <v>Czorny, S</v>
      </c>
      <c r="C12" s="14" t="str">
        <f>VLOOKUP($A12,'Eingabe Einzelspieler'!$K$2:$V$124,12,FALSE)</f>
        <v>1.MGC Gelsenkirchen</v>
      </c>
      <c r="D12" s="34">
        <f>IF($B12="",0,VLOOKUP($B12,'Eingabe Einzelspieler'!$A$2:$P$124,D$1,FALSE))</f>
        <v>115</v>
      </c>
      <c r="E12" s="34">
        <f>IF($B12="",0,VLOOKUP($B12,'Eingabe Einzelspieler'!$A$2:$P$124,E$1,FALSE))</f>
        <v>93</v>
      </c>
      <c r="F12" s="34">
        <f>IF($B12="",0,VLOOKUP($B12,'Eingabe Einzelspieler'!$A$2:$P$124,F$1,FALSE))</f>
        <v>105</v>
      </c>
      <c r="G12" s="34">
        <f>IF($B12="",0,VLOOKUP($B12,'Eingabe Einzelspieler'!$A$2:$P$124,G$1,FALSE))</f>
        <v>109</v>
      </c>
      <c r="H12" s="34">
        <f>IF($B12="",0,VLOOKUP($B12,'Eingabe Einzelspieler'!$A$2:$P$124,H$1,FALSE))</f>
        <v>105</v>
      </c>
      <c r="I12" s="34">
        <f>IF($B12="",0,VLOOKUP($B12,'Eingabe Einzelspieler'!$A$2:$P$124,I$1,FALSE))</f>
        <v>101</v>
      </c>
      <c r="J12" s="10">
        <f t="shared" si="0"/>
        <v>628</v>
      </c>
      <c r="K12" s="10">
        <f t="shared" si="1"/>
        <v>6</v>
      </c>
      <c r="L12" s="10">
        <f>IF($B12="",0,VLOOKUP($B12,'Eingabe Einzelspieler'!$A$2:$P$124,L$1,FALSE))</f>
        <v>0</v>
      </c>
      <c r="M12" s="10">
        <f>IF(('Eingabe Einzelspieler'!$I$125-1)&gt;K12,1,"")</f>
      </c>
      <c r="N12" s="10">
        <f>IF('Eingabe Einzelspieler'!$I$125=1,0,IF(K12='Eingabe Einzelspieler'!$I$125,1,0))</f>
        <v>1</v>
      </c>
      <c r="O12" s="10">
        <f t="shared" si="2"/>
        <v>115</v>
      </c>
      <c r="P12" s="10">
        <f t="shared" si="3"/>
        <v>513</v>
      </c>
      <c r="Q12" s="82">
        <f t="shared" si="4"/>
        <v>34.199999999999996</v>
      </c>
      <c r="R12" s="83">
        <f t="shared" si="5"/>
        <v>15</v>
      </c>
      <c r="S12" s="83">
        <f>COUNTIF(R$7:R12,R12)</f>
        <v>1</v>
      </c>
      <c r="T12" s="83">
        <f t="shared" si="6"/>
        <v>15</v>
      </c>
      <c r="U12" s="88">
        <f t="shared" si="7"/>
        <v>513.0015</v>
      </c>
      <c r="V12" s="34">
        <f t="shared" si="8"/>
        <v>6</v>
      </c>
      <c r="W12" s="88">
        <f t="shared" si="9"/>
        <v>482.0006</v>
      </c>
      <c r="X12" s="83">
        <f t="shared" si="10"/>
        <v>10</v>
      </c>
      <c r="Y12" s="12">
        <f t="shared" si="11"/>
        <v>6</v>
      </c>
      <c r="Z12" s="50">
        <f t="shared" si="12"/>
        <v>0</v>
      </c>
      <c r="AA12" s="52" t="str">
        <f t="shared" si="13"/>
        <v>Weinberger, R</v>
      </c>
      <c r="AB12" s="52" t="str">
        <f t="shared" si="13"/>
        <v>1.MGC Gelsenkirchen</v>
      </c>
      <c r="AC12" s="12">
        <f t="shared" si="13"/>
        <v>482</v>
      </c>
      <c r="AD12" s="55">
        <f t="shared" si="13"/>
      </c>
      <c r="AE12" s="56">
        <f t="shared" si="13"/>
        <v>32.13333333333333</v>
      </c>
      <c r="AF12" s="12">
        <f t="shared" si="13"/>
        <v>102</v>
      </c>
      <c r="AG12" s="12">
        <f t="shared" si="13"/>
        <v>97</v>
      </c>
      <c r="AH12" s="12">
        <f t="shared" si="13"/>
        <v>95</v>
      </c>
      <c r="AI12" s="12">
        <f t="shared" si="13"/>
        <v>0</v>
      </c>
      <c r="AJ12" s="12">
        <f t="shared" si="13"/>
        <v>94</v>
      </c>
      <c r="AK12" s="12">
        <f t="shared" si="13"/>
        <v>94</v>
      </c>
    </row>
    <row r="13" spans="1:37" ht="12.75">
      <c r="A13" s="52">
        <v>7</v>
      </c>
      <c r="B13" s="14" t="str">
        <f>VLOOKUP($A13,'Eingabe Einzelspieler'!$K$2:$V$124,11,FALSE)</f>
        <v>Kaufmann, M</v>
      </c>
      <c r="C13" s="14" t="str">
        <f>VLOOKUP($A13,'Eingabe Einzelspieler'!$K$2:$V$124,12,FALSE)</f>
        <v>1.MGC Gelsenkirchen</v>
      </c>
      <c r="D13" s="34">
        <f>IF($B13="",0,VLOOKUP($B13,'Eingabe Einzelspieler'!$A$2:$P$124,D$1,FALSE))</f>
        <v>104</v>
      </c>
      <c r="E13" s="34">
        <f>IF($B13="",0,VLOOKUP($B13,'Eingabe Einzelspieler'!$A$2:$P$124,E$1,FALSE))</f>
        <v>91</v>
      </c>
      <c r="F13" s="34">
        <f>IF($B13="",0,VLOOKUP($B13,'Eingabe Einzelspieler'!$A$2:$P$124,F$1,FALSE))</f>
        <v>97</v>
      </c>
      <c r="G13" s="34">
        <f>IF($B13="",0,VLOOKUP($B13,'Eingabe Einzelspieler'!$A$2:$P$124,G$1,FALSE))</f>
        <v>93</v>
      </c>
      <c r="H13" s="34">
        <f>IF($B13="",0,VLOOKUP($B13,'Eingabe Einzelspieler'!$A$2:$P$124,H$1,FALSE))</f>
        <v>98</v>
      </c>
      <c r="I13" s="34">
        <f>IF($B13="",0,VLOOKUP($B13,'Eingabe Einzelspieler'!$A$2:$P$124,I$1,FALSE))</f>
        <v>92</v>
      </c>
      <c r="J13" s="10">
        <f aca="true" t="shared" si="14" ref="J13:J19">SUM(D13:I13)</f>
        <v>575</v>
      </c>
      <c r="K13" s="10">
        <f aca="true" t="shared" si="15" ref="K13:K19">COUNTIF(D13:I13,"&gt;0")</f>
        <v>6</v>
      </c>
      <c r="L13" s="10">
        <f>IF($B13="",0,VLOOKUP($B13,'Eingabe Einzelspieler'!$A$2:$P$124,L$1,FALSE))</f>
        <v>0</v>
      </c>
      <c r="M13" s="10">
        <f>IF(('Eingabe Einzelspieler'!$I$125-1)&gt;K13,1,"")</f>
      </c>
      <c r="N13" s="10">
        <f>IF('Eingabe Einzelspieler'!$I$125=1,0,IF(K13='Eingabe Einzelspieler'!$I$125,1,0))</f>
        <v>1</v>
      </c>
      <c r="O13" s="10">
        <f aca="true" t="shared" si="16" ref="O13:O19">IF(N13=1,LARGE(D13:I13,1),"")</f>
        <v>104</v>
      </c>
      <c r="P13" s="10">
        <f aca="true" t="shared" si="17" ref="P13:P19">IF(M13=1,"ADW",IF(N13=1,SUM(J13-O13),J13))</f>
        <v>471</v>
      </c>
      <c r="Q13" s="82">
        <f aca="true" t="shared" si="18" ref="Q13:Q19">IF(J13=0,0,IF(AND(K13=1,N13=1),J13/3,IF(M13=1,"",IF(N13=0,P13/K13/3,P13/(K13-N13)/3))))</f>
        <v>31.400000000000002</v>
      </c>
      <c r="R13" s="83">
        <f t="shared" si="5"/>
        <v>3</v>
      </c>
      <c r="S13" s="83">
        <f>COUNTIF(R$7:R13,R13)</f>
        <v>1</v>
      </c>
      <c r="T13" s="83">
        <f aca="true" t="shared" si="19" ref="T13:T19">R13+S13-1</f>
        <v>3</v>
      </c>
      <c r="U13" s="88">
        <f aca="true" t="shared" si="20" ref="U13:U19">IF(M13=1,2500+(T13/10000),P13+(T13/10000)+(L13/10))</f>
        <v>471.0003</v>
      </c>
      <c r="V13" s="34">
        <f aca="true" t="shared" si="21" ref="V13:V19">A13</f>
        <v>7</v>
      </c>
      <c r="W13" s="88">
        <f t="shared" si="9"/>
        <v>485.0007</v>
      </c>
      <c r="X13" s="83">
        <f t="shared" si="10"/>
        <v>5</v>
      </c>
      <c r="Y13" s="12">
        <f aca="true" t="shared" si="22" ref="Y13:Y19">A13</f>
        <v>7</v>
      </c>
      <c r="Z13" s="50">
        <f t="shared" si="12"/>
        <v>0</v>
      </c>
      <c r="AA13" s="101" t="str">
        <f t="shared" si="13"/>
        <v>Tabor, P</v>
      </c>
      <c r="AB13" s="101" t="str">
        <f t="shared" si="13"/>
        <v>MGC "AS" Witten</v>
      </c>
      <c r="AC13" s="102">
        <f t="shared" si="13"/>
        <v>485</v>
      </c>
      <c r="AD13" s="55">
        <f t="shared" si="13"/>
      </c>
      <c r="AE13" s="56">
        <f t="shared" si="13"/>
        <v>32.333333333333336</v>
      </c>
      <c r="AF13" s="12">
        <f t="shared" si="13"/>
        <v>96</v>
      </c>
      <c r="AG13" s="12">
        <f t="shared" si="13"/>
        <v>96</v>
      </c>
      <c r="AH13" s="12">
        <f t="shared" si="13"/>
        <v>98</v>
      </c>
      <c r="AI13" s="12">
        <f t="shared" si="13"/>
        <v>0</v>
      </c>
      <c r="AJ13" s="12">
        <f t="shared" si="13"/>
        <v>98</v>
      </c>
      <c r="AK13" s="12">
        <f t="shared" si="13"/>
        <v>97</v>
      </c>
    </row>
    <row r="14" spans="1:37" ht="12.75">
      <c r="A14" s="52">
        <v>8</v>
      </c>
      <c r="B14" s="14" t="str">
        <f>VLOOKUP($A14,'Eingabe Einzelspieler'!$K$2:$V$124,11,FALSE)</f>
        <v>Mette, M</v>
      </c>
      <c r="C14" s="14" t="str">
        <f>VLOOKUP($A14,'Eingabe Einzelspieler'!$K$2:$V$124,12,FALSE)</f>
        <v>1.MGC Gelsenkirchen</v>
      </c>
      <c r="D14" s="34">
        <f>IF($B14="",0,VLOOKUP($B14,'Eingabe Einzelspieler'!$A$2:$P$124,D$1,FALSE))</f>
        <v>98</v>
      </c>
      <c r="E14" s="34">
        <f>IF($B14="",0,VLOOKUP($B14,'Eingabe Einzelspieler'!$A$2:$P$124,E$1,FALSE))</f>
        <v>98</v>
      </c>
      <c r="F14" s="34">
        <f>IF($B14="",0,VLOOKUP($B14,'Eingabe Einzelspieler'!$A$2:$P$124,F$1,FALSE))</f>
        <v>97</v>
      </c>
      <c r="G14" s="34">
        <f>IF($B14="",0,VLOOKUP($B14,'Eingabe Einzelspieler'!$A$2:$P$124,G$1,FALSE))</f>
        <v>97</v>
      </c>
      <c r="H14" s="34">
        <f>IF($B14="",0,VLOOKUP($B14,'Eingabe Einzelspieler'!$A$2:$P$124,H$1,FALSE))</f>
        <v>106</v>
      </c>
      <c r="I14" s="34">
        <f>IF($B14="",0,VLOOKUP($B14,'Eingabe Einzelspieler'!$A$2:$P$124,I$1,FALSE))</f>
        <v>95</v>
      </c>
      <c r="J14" s="10">
        <f t="shared" si="14"/>
        <v>591</v>
      </c>
      <c r="K14" s="10">
        <f t="shared" si="15"/>
        <v>6</v>
      </c>
      <c r="L14" s="10">
        <f>IF($B14="",0,VLOOKUP($B14,'Eingabe Einzelspieler'!$A$2:$P$124,L$1,FALSE))</f>
        <v>0</v>
      </c>
      <c r="M14" s="10">
        <f>IF(('Eingabe Einzelspieler'!$I$125-1)&gt;K14,1,"")</f>
      </c>
      <c r="N14" s="10">
        <f>IF('Eingabe Einzelspieler'!$I$125=1,0,IF(K14='Eingabe Einzelspieler'!$I$125,1,0))</f>
        <v>1</v>
      </c>
      <c r="O14" s="10">
        <f t="shared" si="16"/>
        <v>106</v>
      </c>
      <c r="P14" s="10">
        <f t="shared" si="17"/>
        <v>485</v>
      </c>
      <c r="Q14" s="82">
        <f t="shared" si="18"/>
        <v>32.333333333333336</v>
      </c>
      <c r="R14" s="83">
        <f t="shared" si="5"/>
        <v>7</v>
      </c>
      <c r="S14" s="83">
        <f>COUNTIF(R$7:R14,R14)</f>
        <v>2</v>
      </c>
      <c r="T14" s="83">
        <f t="shared" si="19"/>
        <v>8</v>
      </c>
      <c r="U14" s="88">
        <f t="shared" si="20"/>
        <v>485.0008</v>
      </c>
      <c r="V14" s="34">
        <f t="shared" si="21"/>
        <v>8</v>
      </c>
      <c r="W14" s="88">
        <f t="shared" si="9"/>
        <v>485.0008</v>
      </c>
      <c r="X14" s="83">
        <f t="shared" si="10"/>
        <v>8</v>
      </c>
      <c r="Y14" s="12">
        <f t="shared" si="22"/>
        <v>8</v>
      </c>
      <c r="Z14" s="50">
        <f t="shared" si="12"/>
        <v>0</v>
      </c>
      <c r="AA14" s="52" t="str">
        <f t="shared" si="13"/>
        <v>Mette, M</v>
      </c>
      <c r="AB14" s="52" t="str">
        <f t="shared" si="13"/>
        <v>1.MGC Gelsenkirchen</v>
      </c>
      <c r="AC14" s="12">
        <f t="shared" si="13"/>
        <v>485</v>
      </c>
      <c r="AD14" s="55">
        <f t="shared" si="13"/>
        <v>106</v>
      </c>
      <c r="AE14" s="56">
        <f t="shared" si="13"/>
        <v>32.333333333333336</v>
      </c>
      <c r="AF14" s="12">
        <f t="shared" si="13"/>
        <v>98</v>
      </c>
      <c r="AG14" s="12">
        <f t="shared" si="13"/>
        <v>98</v>
      </c>
      <c r="AH14" s="12">
        <f t="shared" si="13"/>
        <v>97</v>
      </c>
      <c r="AI14" s="12">
        <f t="shared" si="13"/>
        <v>97</v>
      </c>
      <c r="AJ14" s="12">
        <f t="shared" si="13"/>
        <v>106</v>
      </c>
      <c r="AK14" s="12">
        <f t="shared" si="13"/>
        <v>95</v>
      </c>
    </row>
    <row r="15" spans="1:37" ht="12.75">
      <c r="A15" s="52">
        <v>9</v>
      </c>
      <c r="B15" s="14" t="str">
        <f>VLOOKUP($A15,'Eingabe Einzelspieler'!$K$2:$V$124,11,FALSE)</f>
        <v>Seele, J</v>
      </c>
      <c r="C15" s="14" t="str">
        <f>VLOOKUP($A15,'Eingabe Einzelspieler'!$K$2:$V$124,12,FALSE)</f>
        <v>1.MGC Gelsenkirchen</v>
      </c>
      <c r="D15" s="34">
        <f>IF($B15="",0,VLOOKUP($B15,'Eingabe Einzelspieler'!$A$2:$P$124,D$1,FALSE))</f>
        <v>119</v>
      </c>
      <c r="E15" s="34">
        <f>IF($B15="",0,VLOOKUP($B15,'Eingabe Einzelspieler'!$A$2:$P$124,E$1,FALSE))</f>
        <v>110</v>
      </c>
      <c r="F15" s="34">
        <f>IF($B15="",0,VLOOKUP($B15,'Eingabe Einzelspieler'!$A$2:$P$124,F$1,FALSE))</f>
        <v>0</v>
      </c>
      <c r="G15" s="34">
        <f>IF($B15="",0,VLOOKUP($B15,'Eingabe Einzelspieler'!$A$2:$P$124,G$1,FALSE))</f>
        <v>0</v>
      </c>
      <c r="H15" s="34">
        <f>IF($B15="",0,VLOOKUP($B15,'Eingabe Einzelspieler'!$A$2:$P$124,H$1,FALSE))</f>
        <v>0</v>
      </c>
      <c r="I15" s="34">
        <f>IF($B15="",0,VLOOKUP($B15,'Eingabe Einzelspieler'!$A$2:$P$124,I$1,FALSE))</f>
        <v>0</v>
      </c>
      <c r="J15" s="10">
        <f t="shared" si="14"/>
        <v>229</v>
      </c>
      <c r="K15" s="10">
        <f t="shared" si="15"/>
        <v>2</v>
      </c>
      <c r="L15" s="10">
        <f>IF($B15="",0,VLOOKUP($B15,'Eingabe Einzelspieler'!$A$2:$P$124,L$1,FALSE))</f>
        <v>0</v>
      </c>
      <c r="M15" s="10">
        <f>IF(('Eingabe Einzelspieler'!$I$125-1)&gt;K15,1,"")</f>
        <v>1</v>
      </c>
      <c r="N15" s="10">
        <f>IF('Eingabe Einzelspieler'!$I$125=1,0,IF(K15='Eingabe Einzelspieler'!$I$125,1,0))</f>
        <v>0</v>
      </c>
      <c r="O15" s="10">
        <f t="shared" si="16"/>
      </c>
      <c r="P15" s="10" t="str">
        <f t="shared" si="17"/>
        <v>ADW</v>
      </c>
      <c r="Q15" s="82">
        <f t="shared" si="18"/>
      </c>
      <c r="R15" s="83">
        <f t="shared" si="5"/>
        <v>100</v>
      </c>
      <c r="S15" s="83">
        <f>COUNTIF(R$7:R15,R15)</f>
        <v>2</v>
      </c>
      <c r="T15" s="83">
        <f t="shared" si="19"/>
        <v>101</v>
      </c>
      <c r="U15" s="88">
        <f t="shared" si="20"/>
        <v>2500.0101</v>
      </c>
      <c r="V15" s="34">
        <f t="shared" si="21"/>
        <v>9</v>
      </c>
      <c r="W15" s="88">
        <f t="shared" si="9"/>
        <v>485.0009</v>
      </c>
      <c r="X15" s="83">
        <f t="shared" si="10"/>
        <v>19</v>
      </c>
      <c r="Y15" s="12">
        <f t="shared" si="22"/>
        <v>9</v>
      </c>
      <c r="Z15" s="50">
        <f t="shared" si="12"/>
        <v>0</v>
      </c>
      <c r="AA15" s="52" t="str">
        <f t="shared" si="13"/>
        <v>Schneider, M</v>
      </c>
      <c r="AB15" s="52" t="str">
        <f t="shared" si="13"/>
        <v>MGC Neviges</v>
      </c>
      <c r="AC15" s="12">
        <f t="shared" si="13"/>
        <v>485</v>
      </c>
      <c r="AD15" s="55">
        <f t="shared" si="13"/>
        <v>111</v>
      </c>
      <c r="AE15" s="56">
        <f t="shared" si="13"/>
        <v>32.333333333333336</v>
      </c>
      <c r="AF15" s="12">
        <f t="shared" si="13"/>
        <v>111</v>
      </c>
      <c r="AG15" s="12">
        <f t="shared" si="13"/>
        <v>103</v>
      </c>
      <c r="AH15" s="12">
        <f t="shared" si="13"/>
        <v>90</v>
      </c>
      <c r="AI15" s="12">
        <f t="shared" si="13"/>
        <v>95</v>
      </c>
      <c r="AJ15" s="12">
        <f t="shared" si="13"/>
        <v>95</v>
      </c>
      <c r="AK15" s="12">
        <f t="shared" si="13"/>
        <v>102</v>
      </c>
    </row>
    <row r="16" spans="1:37" ht="12.75">
      <c r="A16" s="52">
        <v>10</v>
      </c>
      <c r="B16" s="14" t="str">
        <f>VLOOKUP($A16,'Eingabe Einzelspieler'!$K$2:$V$124,11,FALSE)</f>
        <v>Weinberger, R</v>
      </c>
      <c r="C16" s="14" t="str">
        <f>VLOOKUP($A16,'Eingabe Einzelspieler'!$K$2:$V$124,12,FALSE)</f>
        <v>1.MGC Gelsenkirchen</v>
      </c>
      <c r="D16" s="34">
        <f>IF($B16="",0,VLOOKUP($B16,'Eingabe Einzelspieler'!$A$2:$P$124,D$1,FALSE))</f>
        <v>102</v>
      </c>
      <c r="E16" s="34">
        <f>IF($B16="",0,VLOOKUP($B16,'Eingabe Einzelspieler'!$A$2:$P$124,E$1,FALSE))</f>
        <v>97</v>
      </c>
      <c r="F16" s="34">
        <f>IF($B16="",0,VLOOKUP($B16,'Eingabe Einzelspieler'!$A$2:$P$124,F$1,FALSE))</f>
        <v>95</v>
      </c>
      <c r="G16" s="34">
        <f>IF($B16="",0,VLOOKUP($B16,'Eingabe Einzelspieler'!$A$2:$P$124,G$1,FALSE))</f>
        <v>0</v>
      </c>
      <c r="H16" s="34">
        <f>IF($B16="",0,VLOOKUP($B16,'Eingabe Einzelspieler'!$A$2:$P$124,H$1,FALSE))</f>
        <v>94</v>
      </c>
      <c r="I16" s="34">
        <f>IF($B16="",0,VLOOKUP($B16,'Eingabe Einzelspieler'!$A$2:$P$124,I$1,FALSE))</f>
        <v>94</v>
      </c>
      <c r="J16" s="10">
        <f t="shared" si="14"/>
        <v>482</v>
      </c>
      <c r="K16" s="10">
        <f t="shared" si="15"/>
        <v>5</v>
      </c>
      <c r="L16" s="10">
        <f>IF($B16="",0,VLOOKUP($B16,'Eingabe Einzelspieler'!$A$2:$P$124,L$1,FALSE))</f>
        <v>0</v>
      </c>
      <c r="M16" s="10">
        <f>IF(('Eingabe Einzelspieler'!$I$125-1)&gt;K16,1,"")</f>
      </c>
      <c r="N16" s="10">
        <f>IF('Eingabe Einzelspieler'!$I$125=1,0,IF(K16='Eingabe Einzelspieler'!$I$125,1,0))</f>
        <v>0</v>
      </c>
      <c r="O16" s="10">
        <f t="shared" si="16"/>
      </c>
      <c r="P16" s="10">
        <f t="shared" si="17"/>
        <v>482</v>
      </c>
      <c r="Q16" s="82">
        <f t="shared" si="18"/>
        <v>32.13333333333333</v>
      </c>
      <c r="R16" s="83">
        <f t="shared" si="5"/>
        <v>6</v>
      </c>
      <c r="S16" s="83">
        <f>COUNTIF(R$7:R16,R16)</f>
        <v>1</v>
      </c>
      <c r="T16" s="83">
        <f t="shared" si="19"/>
        <v>6</v>
      </c>
      <c r="U16" s="88">
        <f t="shared" si="20"/>
        <v>482.0006</v>
      </c>
      <c r="V16" s="34">
        <f t="shared" si="21"/>
        <v>10</v>
      </c>
      <c r="W16" s="88">
        <f t="shared" si="9"/>
        <v>490.001</v>
      </c>
      <c r="X16" s="83">
        <f t="shared" si="10"/>
        <v>23</v>
      </c>
      <c r="Y16" s="12">
        <f t="shared" si="22"/>
        <v>10</v>
      </c>
      <c r="Z16" s="50">
        <f t="shared" si="12"/>
        <v>0</v>
      </c>
      <c r="AA16" s="52" t="str">
        <f t="shared" si="13"/>
        <v>Bork, W</v>
      </c>
      <c r="AB16" s="52" t="str">
        <f t="shared" si="13"/>
        <v>BGC Uerdingen</v>
      </c>
      <c r="AC16" s="12">
        <f t="shared" si="13"/>
        <v>490</v>
      </c>
      <c r="AD16" s="55">
        <f t="shared" si="13"/>
        <v>108</v>
      </c>
      <c r="AE16" s="56">
        <f t="shared" si="13"/>
        <v>32.666666666666664</v>
      </c>
      <c r="AF16" s="12">
        <f t="shared" si="13"/>
        <v>98</v>
      </c>
      <c r="AG16" s="12">
        <f t="shared" si="13"/>
        <v>98</v>
      </c>
      <c r="AH16" s="12">
        <f t="shared" si="13"/>
        <v>108</v>
      </c>
      <c r="AI16" s="12">
        <f t="shared" si="13"/>
        <v>87</v>
      </c>
      <c r="AJ16" s="12">
        <f t="shared" si="13"/>
        <v>101</v>
      </c>
      <c r="AK16" s="12">
        <f t="shared" si="13"/>
        <v>106</v>
      </c>
    </row>
    <row r="17" spans="1:37" ht="12.75">
      <c r="A17" s="52">
        <v>11</v>
      </c>
      <c r="B17" s="14" t="str">
        <f>VLOOKUP($A17,'Eingabe Einzelspieler'!$K$2:$V$124,11,FALSE)</f>
        <v>Lach, M</v>
      </c>
      <c r="C17" s="14" t="str">
        <f>VLOOKUP($A17,'Eingabe Einzelspieler'!$K$2:$V$124,12,FALSE)</f>
        <v>1.MSC Wesel</v>
      </c>
      <c r="D17" s="34">
        <f>IF($B17="",0,VLOOKUP($B17,'Eingabe Einzelspieler'!$A$2:$P$124,D$1,FALSE))</f>
        <v>107</v>
      </c>
      <c r="E17" s="34">
        <f>IF($B17="",0,VLOOKUP($B17,'Eingabe Einzelspieler'!$A$2:$P$124,E$1,FALSE))</f>
        <v>108</v>
      </c>
      <c r="F17" s="34">
        <f>IF($B17="",0,VLOOKUP($B17,'Eingabe Einzelspieler'!$A$2:$P$124,F$1,FALSE))</f>
        <v>89</v>
      </c>
      <c r="G17" s="34">
        <f>IF($B17="",0,VLOOKUP($B17,'Eingabe Einzelspieler'!$A$2:$P$124,G$1,FALSE))</f>
        <v>97</v>
      </c>
      <c r="H17" s="34">
        <f>IF($B17="",0,VLOOKUP($B17,'Eingabe Einzelspieler'!$A$2:$P$124,H$1,FALSE))</f>
        <v>100</v>
      </c>
      <c r="I17" s="34">
        <f>IF($B17="",0,VLOOKUP($B17,'Eingabe Einzelspieler'!$A$2:$P$124,I$1,FALSE))</f>
        <v>100</v>
      </c>
      <c r="J17" s="10">
        <f t="shared" si="14"/>
        <v>601</v>
      </c>
      <c r="K17" s="10">
        <f t="shared" si="15"/>
        <v>6</v>
      </c>
      <c r="L17" s="10">
        <f>IF($B17="",0,VLOOKUP($B17,'Eingabe Einzelspieler'!$A$2:$P$124,L$1,FALSE))</f>
        <v>0</v>
      </c>
      <c r="M17" s="10">
        <f>IF(('Eingabe Einzelspieler'!$I$125-1)&gt;K17,1,"")</f>
      </c>
      <c r="N17" s="10">
        <f>IF('Eingabe Einzelspieler'!$I$125=1,0,IF(K17='Eingabe Einzelspieler'!$I$125,1,0))</f>
        <v>1</v>
      </c>
      <c r="O17" s="10">
        <f t="shared" si="16"/>
        <v>108</v>
      </c>
      <c r="P17" s="10">
        <f t="shared" si="17"/>
        <v>493</v>
      </c>
      <c r="Q17" s="82">
        <f t="shared" si="18"/>
        <v>32.86666666666667</v>
      </c>
      <c r="R17" s="83">
        <f t="shared" si="5"/>
        <v>11</v>
      </c>
      <c r="S17" s="83">
        <f>COUNTIF(R$7:R17,R17)</f>
        <v>1</v>
      </c>
      <c r="T17" s="83">
        <f t="shared" si="19"/>
        <v>11</v>
      </c>
      <c r="U17" s="88">
        <f t="shared" si="20"/>
        <v>493.0011</v>
      </c>
      <c r="V17" s="34">
        <f t="shared" si="21"/>
        <v>11</v>
      </c>
      <c r="W17" s="88">
        <f t="shared" si="9"/>
        <v>493.0011</v>
      </c>
      <c r="X17" s="83">
        <f t="shared" si="10"/>
        <v>11</v>
      </c>
      <c r="Y17" s="12">
        <f t="shared" si="22"/>
        <v>11</v>
      </c>
      <c r="Z17" s="50">
        <f t="shared" si="12"/>
        <v>0</v>
      </c>
      <c r="AA17" s="52" t="str">
        <f aca="true" t="shared" si="23" ref="AA17:AK32">VLOOKUP($X17,$A$7:$X$32,AA$1,FALSE)</f>
        <v>Lach, M</v>
      </c>
      <c r="AB17" s="52" t="str">
        <f t="shared" si="23"/>
        <v>1.MSC Wesel</v>
      </c>
      <c r="AC17" s="12">
        <f t="shared" si="23"/>
        <v>493</v>
      </c>
      <c r="AD17" s="55">
        <f t="shared" si="23"/>
        <v>108</v>
      </c>
      <c r="AE17" s="56">
        <f t="shared" si="23"/>
        <v>32.86666666666667</v>
      </c>
      <c r="AF17" s="12">
        <f t="shared" si="23"/>
        <v>107</v>
      </c>
      <c r="AG17" s="12">
        <f t="shared" si="23"/>
        <v>108</v>
      </c>
      <c r="AH17" s="12">
        <f t="shared" si="23"/>
        <v>89</v>
      </c>
      <c r="AI17" s="12">
        <f t="shared" si="23"/>
        <v>97</v>
      </c>
      <c r="AJ17" s="12">
        <f t="shared" si="23"/>
        <v>100</v>
      </c>
      <c r="AK17" s="12">
        <f t="shared" si="23"/>
        <v>100</v>
      </c>
    </row>
    <row r="18" spans="1:37" ht="12.75">
      <c r="A18" s="52">
        <v>12</v>
      </c>
      <c r="B18" s="14" t="str">
        <f>VLOOKUP($A18,'Eingabe Einzelspieler'!$K$2:$V$124,11,FALSE)</f>
        <v>Rüger, M</v>
      </c>
      <c r="C18" s="14" t="str">
        <f>VLOOKUP($A18,'Eingabe Einzelspieler'!$K$2:$V$124,12,FALSE)</f>
        <v>1.MSC Wesel</v>
      </c>
      <c r="D18" s="34">
        <f>IF($B18="",0,VLOOKUP($B18,'Eingabe Einzelspieler'!$A$2:$P$124,D$1,FALSE))</f>
        <v>117</v>
      </c>
      <c r="E18" s="34">
        <f>IF($B18="",0,VLOOKUP($B18,'Eingabe Einzelspieler'!$A$2:$P$124,E$1,FALSE))</f>
        <v>0</v>
      </c>
      <c r="F18" s="34">
        <f>IF($B18="",0,VLOOKUP($B18,'Eingabe Einzelspieler'!$A$2:$P$124,F$1,FALSE))</f>
        <v>100</v>
      </c>
      <c r="G18" s="34">
        <f>IF($B18="",0,VLOOKUP($B18,'Eingabe Einzelspieler'!$A$2:$P$124,G$1,FALSE))</f>
        <v>110</v>
      </c>
      <c r="H18" s="34">
        <f>IF($B18="",0,VLOOKUP($B18,'Eingabe Einzelspieler'!$A$2:$P$124,H$1,FALSE))</f>
        <v>109</v>
      </c>
      <c r="I18" s="34">
        <f>IF($B18="",0,VLOOKUP($B18,'Eingabe Einzelspieler'!$A$2:$P$124,I$1,FALSE))</f>
        <v>0</v>
      </c>
      <c r="J18" s="10">
        <f t="shared" si="14"/>
        <v>436</v>
      </c>
      <c r="K18" s="10">
        <f t="shared" si="15"/>
        <v>4</v>
      </c>
      <c r="L18" s="10">
        <f>IF($B18="",0,VLOOKUP($B18,'Eingabe Einzelspieler'!$A$2:$P$124,L$1,FALSE))</f>
        <v>0</v>
      </c>
      <c r="M18" s="10">
        <f>IF(('Eingabe Einzelspieler'!$I$125-1)&gt;K18,1,"")</f>
        <v>1</v>
      </c>
      <c r="N18" s="10">
        <f>IF('Eingabe Einzelspieler'!$I$125=1,0,IF(K18='Eingabe Einzelspieler'!$I$125,1,0))</f>
        <v>0</v>
      </c>
      <c r="O18" s="10">
        <f t="shared" si="16"/>
      </c>
      <c r="P18" s="10" t="str">
        <f t="shared" si="17"/>
        <v>ADW</v>
      </c>
      <c r="Q18" s="82">
        <f t="shared" si="18"/>
      </c>
      <c r="R18" s="83">
        <f t="shared" si="5"/>
        <v>100</v>
      </c>
      <c r="S18" s="83">
        <f>COUNTIF(R$7:R18,R18)</f>
        <v>3</v>
      </c>
      <c r="T18" s="83">
        <f t="shared" si="19"/>
        <v>102</v>
      </c>
      <c r="U18" s="88">
        <f t="shared" si="20"/>
        <v>2500.0102</v>
      </c>
      <c r="V18" s="34">
        <f t="shared" si="21"/>
        <v>12</v>
      </c>
      <c r="W18" s="88">
        <f t="shared" si="9"/>
        <v>502.0012</v>
      </c>
      <c r="X18" s="83">
        <f t="shared" si="10"/>
        <v>3</v>
      </c>
      <c r="Y18" s="12">
        <f t="shared" si="22"/>
        <v>12</v>
      </c>
      <c r="Z18" s="50">
        <f t="shared" si="12"/>
        <v>0</v>
      </c>
      <c r="AA18" s="101" t="str">
        <f t="shared" si="23"/>
        <v>Krause, M</v>
      </c>
      <c r="AB18" s="101" t="str">
        <f t="shared" si="23"/>
        <v>MGC "AS" Witten</v>
      </c>
      <c r="AC18" s="102">
        <f t="shared" si="23"/>
        <v>502</v>
      </c>
      <c r="AD18" s="55">
        <f t="shared" si="23"/>
      </c>
      <c r="AE18" s="56">
        <f t="shared" si="23"/>
        <v>33.46666666666667</v>
      </c>
      <c r="AF18" s="12">
        <f t="shared" si="23"/>
        <v>98</v>
      </c>
      <c r="AG18" s="12">
        <f t="shared" si="23"/>
        <v>0</v>
      </c>
      <c r="AH18" s="12">
        <f t="shared" si="23"/>
        <v>94</v>
      </c>
      <c r="AI18" s="12">
        <f t="shared" si="23"/>
        <v>106</v>
      </c>
      <c r="AJ18" s="12">
        <f t="shared" si="23"/>
        <v>100</v>
      </c>
      <c r="AK18" s="12">
        <f t="shared" si="23"/>
        <v>104</v>
      </c>
    </row>
    <row r="19" spans="1:37" ht="12.75">
      <c r="A19" s="52">
        <v>13</v>
      </c>
      <c r="B19" s="14" t="str">
        <f>VLOOKUP($A19,'Eingabe Einzelspieler'!$K$2:$V$124,11,FALSE)</f>
        <v>Stodtmeister, H</v>
      </c>
      <c r="C19" s="14" t="str">
        <f>VLOOKUP($A19,'Eingabe Einzelspieler'!$K$2:$V$124,12,FALSE)</f>
        <v>1.MSC Wesel</v>
      </c>
      <c r="D19" s="34">
        <f>IF($B19="",0,VLOOKUP($B19,'Eingabe Einzelspieler'!$A$2:$P$124,D$1,FALSE))</f>
        <v>135</v>
      </c>
      <c r="E19" s="34">
        <f>IF($B19="",0,VLOOKUP($B19,'Eingabe Einzelspieler'!$A$2:$P$124,E$1,FALSE))</f>
        <v>126</v>
      </c>
      <c r="F19" s="34">
        <f>IF($B19="",0,VLOOKUP($B19,'Eingabe Einzelspieler'!$A$2:$P$124,F$1,FALSE))</f>
        <v>109</v>
      </c>
      <c r="G19" s="34">
        <f>IF($B19="",0,VLOOKUP($B19,'Eingabe Einzelspieler'!$A$2:$P$124,G$1,FALSE))</f>
        <v>108</v>
      </c>
      <c r="H19" s="34">
        <f>IF($B19="",0,VLOOKUP($B19,'Eingabe Einzelspieler'!$A$2:$P$124,H$1,FALSE))</f>
        <v>0</v>
      </c>
      <c r="I19" s="34">
        <f>IF($B19="",0,VLOOKUP($B19,'Eingabe Einzelspieler'!$A$2:$P$124,I$1,FALSE))</f>
        <v>0</v>
      </c>
      <c r="J19" s="10">
        <f t="shared" si="14"/>
        <v>478</v>
      </c>
      <c r="K19" s="10">
        <f t="shared" si="15"/>
        <v>4</v>
      </c>
      <c r="L19" s="10">
        <f>IF($B19="",0,VLOOKUP($B19,'Eingabe Einzelspieler'!$A$2:$P$124,L$1,FALSE))</f>
        <v>0</v>
      </c>
      <c r="M19" s="10">
        <f>IF(('Eingabe Einzelspieler'!$I$125-1)&gt;K19,1,"")</f>
        <v>1</v>
      </c>
      <c r="N19" s="10">
        <f>IF('Eingabe Einzelspieler'!$I$125=1,0,IF(K19='Eingabe Einzelspieler'!$I$125,1,0))</f>
        <v>0</v>
      </c>
      <c r="O19" s="10">
        <f t="shared" si="16"/>
      </c>
      <c r="P19" s="10" t="str">
        <f t="shared" si="17"/>
        <v>ADW</v>
      </c>
      <c r="Q19" s="82">
        <f t="shared" si="18"/>
      </c>
      <c r="R19" s="83">
        <f t="shared" si="5"/>
        <v>100</v>
      </c>
      <c r="S19" s="83">
        <f>COUNTIF(R$7:R19,R19)</f>
        <v>4</v>
      </c>
      <c r="T19" s="83">
        <f t="shared" si="19"/>
        <v>103</v>
      </c>
      <c r="U19" s="88">
        <f t="shared" si="20"/>
        <v>2500.0103</v>
      </c>
      <c r="V19" s="34">
        <f t="shared" si="21"/>
        <v>13</v>
      </c>
      <c r="W19" s="88">
        <f t="shared" si="9"/>
        <v>509.0013</v>
      </c>
      <c r="X19" s="83">
        <f t="shared" si="10"/>
        <v>17</v>
      </c>
      <c r="Y19" s="12">
        <f t="shared" si="22"/>
        <v>13</v>
      </c>
      <c r="Z19" s="50">
        <f t="shared" si="12"/>
        <v>0</v>
      </c>
      <c r="AA19" s="52" t="str">
        <f t="shared" si="23"/>
        <v>Rosemann, A</v>
      </c>
      <c r="AB19" s="52" t="str">
        <f t="shared" si="23"/>
        <v>MGC Neviges</v>
      </c>
      <c r="AC19" s="12">
        <f t="shared" si="23"/>
        <v>509</v>
      </c>
      <c r="AD19" s="55">
        <f t="shared" si="23"/>
        <v>116</v>
      </c>
      <c r="AE19" s="56">
        <f t="shared" si="23"/>
        <v>33.93333333333333</v>
      </c>
      <c r="AF19" s="12">
        <f t="shared" si="23"/>
        <v>116</v>
      </c>
      <c r="AG19" s="12">
        <f t="shared" si="23"/>
        <v>112</v>
      </c>
      <c r="AH19" s="12">
        <f t="shared" si="23"/>
        <v>99</v>
      </c>
      <c r="AI19" s="12">
        <f t="shared" si="23"/>
        <v>102</v>
      </c>
      <c r="AJ19" s="12">
        <f t="shared" si="23"/>
        <v>96</v>
      </c>
      <c r="AK19" s="12">
        <f t="shared" si="23"/>
        <v>100</v>
      </c>
    </row>
    <row r="20" spans="1:37" ht="12.75">
      <c r="A20" s="52">
        <v>14</v>
      </c>
      <c r="B20" s="14" t="str">
        <f>VLOOKUP($A20,'Eingabe Einzelspieler'!$K$2:$V$124,11,FALSE)</f>
        <v>Stenk, M</v>
      </c>
      <c r="C20" s="14" t="str">
        <f>VLOOKUP($A20,'Eingabe Einzelspieler'!$K$2:$V$124,12,FALSE)</f>
        <v>1.MSC Wesel</v>
      </c>
      <c r="D20" s="34">
        <f>IF($B20="",0,VLOOKUP($B20,'Eingabe Einzelspieler'!$A$2:$P$124,D$1,FALSE))</f>
        <v>111</v>
      </c>
      <c r="E20" s="34">
        <f>IF($B20="",0,VLOOKUP($B20,'Eingabe Einzelspieler'!$A$2:$P$124,E$1,FALSE))</f>
        <v>105</v>
      </c>
      <c r="F20" s="34">
        <f>IF($B20="",0,VLOOKUP($B20,'Eingabe Einzelspieler'!$A$2:$P$124,F$1,FALSE))</f>
        <v>104</v>
      </c>
      <c r="G20" s="34">
        <f>IF($B20="",0,VLOOKUP($B20,'Eingabe Einzelspieler'!$A$2:$P$124,G$1,FALSE))</f>
        <v>101</v>
      </c>
      <c r="H20" s="34">
        <f>IF($B20="",0,VLOOKUP($B20,'Eingabe Einzelspieler'!$A$2:$P$124,H$1,FALSE))</f>
        <v>107</v>
      </c>
      <c r="I20" s="34">
        <f>IF($B20="",0,VLOOKUP($B20,'Eingabe Einzelspieler'!$A$2:$P$124,I$1,FALSE))</f>
        <v>110</v>
      </c>
      <c r="J20" s="10">
        <f t="shared" si="0"/>
        <v>638</v>
      </c>
      <c r="K20" s="10">
        <f t="shared" si="1"/>
        <v>6</v>
      </c>
      <c r="L20" s="10">
        <f>IF($B20="",0,VLOOKUP($B20,'Eingabe Einzelspieler'!$A$2:$P$124,L$1,FALSE))</f>
        <v>0</v>
      </c>
      <c r="M20" s="10">
        <f>IF(('Eingabe Einzelspieler'!$I$125-1)&gt;K20,1,"")</f>
      </c>
      <c r="N20" s="10">
        <f>IF('Eingabe Einzelspieler'!$I$125=1,0,IF(K20='Eingabe Einzelspieler'!$I$125,1,0))</f>
        <v>1</v>
      </c>
      <c r="O20" s="10">
        <f aca="true" t="shared" si="24" ref="O20:O32">IF(N20=1,LARGE(D20:I20,1),"")</f>
        <v>111</v>
      </c>
      <c r="P20" s="10">
        <f t="shared" si="3"/>
        <v>527</v>
      </c>
      <c r="Q20" s="82">
        <f t="shared" si="4"/>
        <v>35.13333333333333</v>
      </c>
      <c r="R20" s="83">
        <f t="shared" si="5"/>
        <v>17</v>
      </c>
      <c r="S20" s="83">
        <f>COUNTIF(R$7:R20,R20)</f>
        <v>1</v>
      </c>
      <c r="T20" s="83">
        <f t="shared" si="6"/>
        <v>17</v>
      </c>
      <c r="U20" s="88">
        <f aca="true" t="shared" si="25" ref="U20:U32">IF(M20=1,2500+(T20/10000),P20+(T20/10000)+(L20/10))</f>
        <v>527.0017</v>
      </c>
      <c r="V20" s="34">
        <f t="shared" si="8"/>
        <v>14</v>
      </c>
      <c r="W20" s="88">
        <f t="shared" si="9"/>
        <v>512.0014</v>
      </c>
      <c r="X20" s="83">
        <f t="shared" si="10"/>
        <v>16</v>
      </c>
      <c r="Y20" s="12">
        <f t="shared" si="11"/>
        <v>14</v>
      </c>
      <c r="Z20" s="50">
        <f t="shared" si="12"/>
        <v>0</v>
      </c>
      <c r="AA20" s="52" t="str">
        <f t="shared" si="23"/>
        <v>Verhufen, R</v>
      </c>
      <c r="AB20" s="52" t="str">
        <f t="shared" si="23"/>
        <v>1.MSC Wesel</v>
      </c>
      <c r="AC20" s="12">
        <f t="shared" si="23"/>
        <v>512</v>
      </c>
      <c r="AD20" s="55">
        <f t="shared" si="23"/>
        <v>125</v>
      </c>
      <c r="AE20" s="56">
        <f t="shared" si="23"/>
        <v>34.13333333333333</v>
      </c>
      <c r="AF20" s="12">
        <f t="shared" si="23"/>
        <v>125</v>
      </c>
      <c r="AG20" s="12">
        <f t="shared" si="23"/>
        <v>104</v>
      </c>
      <c r="AH20" s="12">
        <f t="shared" si="23"/>
        <v>98</v>
      </c>
      <c r="AI20" s="12">
        <f t="shared" si="23"/>
        <v>108</v>
      </c>
      <c r="AJ20" s="12">
        <f t="shared" si="23"/>
        <v>103</v>
      </c>
      <c r="AK20" s="12">
        <f t="shared" si="23"/>
        <v>99</v>
      </c>
    </row>
    <row r="21" spans="1:37" ht="12.75">
      <c r="A21" s="52">
        <v>15</v>
      </c>
      <c r="B21" s="14" t="str">
        <f>VLOOKUP($A21,'Eingabe Einzelspieler'!$K$2:$V$124,11,FALSE)</f>
        <v>Triepel, S</v>
      </c>
      <c r="C21" s="14" t="str">
        <f>VLOOKUP($A21,'Eingabe Einzelspieler'!$K$2:$V$124,12,FALSE)</f>
        <v>1.MSC Wesel</v>
      </c>
      <c r="D21" s="34">
        <f>IF($B21="",0,VLOOKUP($B21,'Eingabe Einzelspieler'!$A$2:$P$124,D$1,FALSE))</f>
        <v>107</v>
      </c>
      <c r="E21" s="34">
        <f>IF($B21="",0,VLOOKUP($B21,'Eingabe Einzelspieler'!$A$2:$P$124,E$1,FALSE))</f>
        <v>97</v>
      </c>
      <c r="F21" s="34">
        <f>IF($B21="",0,VLOOKUP($B21,'Eingabe Einzelspieler'!$A$2:$P$124,F$1,FALSE))</f>
        <v>93</v>
      </c>
      <c r="G21" s="34">
        <f>IF($B21="",0,VLOOKUP($B21,'Eingabe Einzelspieler'!$A$2:$P$124,G$1,FALSE))</f>
        <v>91</v>
      </c>
      <c r="H21" s="34">
        <f>IF($B21="",0,VLOOKUP($B21,'Eingabe Einzelspieler'!$A$2:$P$124,H$1,FALSE))</f>
        <v>111</v>
      </c>
      <c r="I21" s="34">
        <f>IF($B21="",0,VLOOKUP($B21,'Eingabe Einzelspieler'!$A$2:$P$124,I$1,FALSE))</f>
        <v>93</v>
      </c>
      <c r="J21" s="10">
        <f>SUM(D21:I21)</f>
        <v>592</v>
      </c>
      <c r="K21" s="10">
        <f>COUNTIF(D21:I21,"&gt;0")</f>
        <v>6</v>
      </c>
      <c r="L21" s="10">
        <f>IF($B21="",0,VLOOKUP($B21,'Eingabe Einzelspieler'!$A$2:$P$124,L$1,FALSE))</f>
        <v>0</v>
      </c>
      <c r="M21" s="10">
        <f>IF(('Eingabe Einzelspieler'!$I$125-1)&gt;K21,1,"")</f>
      </c>
      <c r="N21" s="10">
        <f>IF('Eingabe Einzelspieler'!$I$125=1,0,IF(K21='Eingabe Einzelspieler'!$I$125,1,0))</f>
        <v>1</v>
      </c>
      <c r="O21" s="10">
        <f>IF(N21=1,LARGE(D21:I21,1),"")</f>
        <v>111</v>
      </c>
      <c r="P21" s="10">
        <f>IF(M21=1,"ADW",IF(N21=1,SUM(J21-O21),J21))</f>
        <v>481</v>
      </c>
      <c r="Q21" s="82">
        <f>IF(J21=0,0,IF(AND(K21=1,N21=1),J21/3,IF(M21=1,"",IF(N21=0,P21/K21/3,P21/(K21-N21)/3))))</f>
        <v>32.06666666666667</v>
      </c>
      <c r="R21" s="83">
        <f t="shared" si="5"/>
        <v>5</v>
      </c>
      <c r="S21" s="83">
        <f>COUNTIF(R$7:R21,R21)</f>
        <v>1</v>
      </c>
      <c r="T21" s="83">
        <f>R21+S21-1</f>
        <v>5</v>
      </c>
      <c r="U21" s="88">
        <f>IF(M21=1,2500+(T21/10000),P21+(T21/10000)+(L21/10))</f>
        <v>481.0005</v>
      </c>
      <c r="V21" s="34">
        <f>A21</f>
        <v>15</v>
      </c>
      <c r="W21" s="88">
        <f t="shared" si="9"/>
        <v>513.0015</v>
      </c>
      <c r="X21" s="83">
        <f t="shared" si="10"/>
        <v>6</v>
      </c>
      <c r="Y21" s="12">
        <f>A21</f>
        <v>15</v>
      </c>
      <c r="Z21" s="50">
        <f t="shared" si="12"/>
        <v>0</v>
      </c>
      <c r="AA21" s="52" t="str">
        <f t="shared" si="23"/>
        <v>Czorny, S</v>
      </c>
      <c r="AB21" s="52" t="str">
        <f t="shared" si="23"/>
        <v>1.MGC Gelsenkirchen</v>
      </c>
      <c r="AC21" s="12">
        <f t="shared" si="23"/>
        <v>513</v>
      </c>
      <c r="AD21" s="55">
        <f t="shared" si="23"/>
        <v>115</v>
      </c>
      <c r="AE21" s="56">
        <f t="shared" si="23"/>
        <v>34.199999999999996</v>
      </c>
      <c r="AF21" s="12">
        <f t="shared" si="23"/>
        <v>115</v>
      </c>
      <c r="AG21" s="12">
        <f t="shared" si="23"/>
        <v>93</v>
      </c>
      <c r="AH21" s="12">
        <f t="shared" si="23"/>
        <v>105</v>
      </c>
      <c r="AI21" s="12">
        <f t="shared" si="23"/>
        <v>109</v>
      </c>
      <c r="AJ21" s="12">
        <f t="shared" si="23"/>
        <v>105</v>
      </c>
      <c r="AK21" s="12">
        <f t="shared" si="23"/>
        <v>101</v>
      </c>
    </row>
    <row r="22" spans="1:37" ht="12.75">
      <c r="A22" s="52">
        <v>16</v>
      </c>
      <c r="B22" s="14" t="str">
        <f>VLOOKUP($A22,'Eingabe Einzelspieler'!$K$2:$V$124,11,FALSE)</f>
        <v>Verhufen, R</v>
      </c>
      <c r="C22" s="14" t="str">
        <f>VLOOKUP($A22,'Eingabe Einzelspieler'!$K$2:$V$124,12,FALSE)</f>
        <v>1.MSC Wesel</v>
      </c>
      <c r="D22" s="34">
        <f>IF($B22="",0,VLOOKUP($B22,'Eingabe Einzelspieler'!$A$2:$P$124,D$1,FALSE))</f>
        <v>125</v>
      </c>
      <c r="E22" s="34">
        <f>IF($B22="",0,VLOOKUP($B22,'Eingabe Einzelspieler'!$A$2:$P$124,E$1,FALSE))</f>
        <v>104</v>
      </c>
      <c r="F22" s="34">
        <f>IF($B22="",0,VLOOKUP($B22,'Eingabe Einzelspieler'!$A$2:$P$124,F$1,FALSE))</f>
        <v>98</v>
      </c>
      <c r="G22" s="34">
        <f>IF($B22="",0,VLOOKUP($B22,'Eingabe Einzelspieler'!$A$2:$P$124,G$1,FALSE))</f>
        <v>108</v>
      </c>
      <c r="H22" s="34">
        <f>IF($B22="",0,VLOOKUP($B22,'Eingabe Einzelspieler'!$A$2:$P$124,H$1,FALSE))</f>
        <v>103</v>
      </c>
      <c r="I22" s="34">
        <f>IF($B22="",0,VLOOKUP($B22,'Eingabe Einzelspieler'!$A$2:$P$124,I$1,FALSE))</f>
        <v>99</v>
      </c>
      <c r="J22" s="10">
        <f>SUM(D22:I22)</f>
        <v>637</v>
      </c>
      <c r="K22" s="10">
        <f>COUNTIF(D22:I22,"&gt;0")</f>
        <v>6</v>
      </c>
      <c r="L22" s="10">
        <f>IF($B22="",0,VLOOKUP($B22,'Eingabe Einzelspieler'!$A$2:$P$124,L$1,FALSE))</f>
        <v>0</v>
      </c>
      <c r="M22" s="10">
        <f>IF(('Eingabe Einzelspieler'!$I$125-1)&gt;K22,1,"")</f>
      </c>
      <c r="N22" s="10">
        <f>IF('Eingabe Einzelspieler'!$I$125=1,0,IF(K22='Eingabe Einzelspieler'!$I$125,1,0))</f>
        <v>1</v>
      </c>
      <c r="O22" s="10">
        <f>IF(N22=1,LARGE(D22:I22,1),"")</f>
        <v>125</v>
      </c>
      <c r="P22" s="10">
        <f>IF(M22=1,"ADW",IF(N22=1,SUM(J22-O22),J22))</f>
        <v>512</v>
      </c>
      <c r="Q22" s="82">
        <f>IF(J22=0,0,IF(AND(K22=1,N22=1),J22/3,IF(M22=1,"",IF(N22=0,P22/K22/3,P22/(K22-N22)/3))))</f>
        <v>34.13333333333333</v>
      </c>
      <c r="R22" s="83">
        <f t="shared" si="5"/>
        <v>14</v>
      </c>
      <c r="S22" s="83">
        <f>COUNTIF(R$7:R22,R22)</f>
        <v>1</v>
      </c>
      <c r="T22" s="83">
        <f>R22+S22-1</f>
        <v>14</v>
      </c>
      <c r="U22" s="88">
        <f>IF(M22=1,2500+(T22/10000),P22+(T22/10000)+(L22/10))</f>
        <v>512.0014</v>
      </c>
      <c r="V22" s="34">
        <f>A22</f>
        <v>16</v>
      </c>
      <c r="W22" s="88">
        <f t="shared" si="9"/>
        <v>514.0016</v>
      </c>
      <c r="X22" s="83">
        <f t="shared" si="10"/>
        <v>22</v>
      </c>
      <c r="Y22" s="12">
        <f>A22</f>
        <v>16</v>
      </c>
      <c r="Z22" s="50">
        <f t="shared" si="12"/>
        <v>0</v>
      </c>
      <c r="AA22" s="52" t="str">
        <f t="shared" si="23"/>
        <v>Hegers, S</v>
      </c>
      <c r="AB22" s="52" t="str">
        <f t="shared" si="23"/>
        <v>BGC Uerdingen</v>
      </c>
      <c r="AC22" s="12">
        <f t="shared" si="23"/>
        <v>514</v>
      </c>
      <c r="AD22" s="55">
        <f t="shared" si="23"/>
      </c>
      <c r="AE22" s="56">
        <f t="shared" si="23"/>
        <v>34.266666666666666</v>
      </c>
      <c r="AF22" s="12">
        <f t="shared" si="23"/>
        <v>104</v>
      </c>
      <c r="AG22" s="12">
        <f t="shared" si="23"/>
        <v>0</v>
      </c>
      <c r="AH22" s="12">
        <f t="shared" si="23"/>
        <v>103</v>
      </c>
      <c r="AI22" s="12">
        <f t="shared" si="23"/>
        <v>100</v>
      </c>
      <c r="AJ22" s="12">
        <f t="shared" si="23"/>
        <v>102</v>
      </c>
      <c r="AK22" s="12">
        <f t="shared" si="23"/>
        <v>105</v>
      </c>
    </row>
    <row r="23" spans="1:37" ht="12.75">
      <c r="A23" s="52">
        <v>17</v>
      </c>
      <c r="B23" s="14" t="str">
        <f>VLOOKUP($A23,'Eingabe Einzelspieler'!$K$2:$V$124,11,FALSE)</f>
        <v>Rosemann, A</v>
      </c>
      <c r="C23" s="14" t="str">
        <f>VLOOKUP($A23,'Eingabe Einzelspieler'!$K$2:$V$124,12,FALSE)</f>
        <v>MGC Neviges</v>
      </c>
      <c r="D23" s="34">
        <f>IF($B23="",0,VLOOKUP($B23,'Eingabe Einzelspieler'!$A$2:$P$124,D$1,FALSE))</f>
        <v>116</v>
      </c>
      <c r="E23" s="34">
        <f>IF($B23="",0,VLOOKUP($B23,'Eingabe Einzelspieler'!$A$2:$P$124,E$1,FALSE))</f>
        <v>112</v>
      </c>
      <c r="F23" s="34">
        <f>IF($B23="",0,VLOOKUP($B23,'Eingabe Einzelspieler'!$A$2:$P$124,F$1,FALSE))</f>
        <v>99</v>
      </c>
      <c r="G23" s="34">
        <f>IF($B23="",0,VLOOKUP($B23,'Eingabe Einzelspieler'!$A$2:$P$124,G$1,FALSE))</f>
        <v>102</v>
      </c>
      <c r="H23" s="34">
        <f>IF($B23="",0,VLOOKUP($B23,'Eingabe Einzelspieler'!$A$2:$P$124,H$1,FALSE))</f>
        <v>96</v>
      </c>
      <c r="I23" s="34">
        <f>IF($B23="",0,VLOOKUP($B23,'Eingabe Einzelspieler'!$A$2:$P$124,I$1,FALSE))</f>
        <v>100</v>
      </c>
      <c r="J23" s="10">
        <f t="shared" si="0"/>
        <v>625</v>
      </c>
      <c r="K23" s="10">
        <f t="shared" si="1"/>
        <v>6</v>
      </c>
      <c r="L23" s="10">
        <f>IF($B23="",0,VLOOKUP($B23,'Eingabe Einzelspieler'!$A$2:$P$124,L$1,FALSE))</f>
        <v>0</v>
      </c>
      <c r="M23" s="10">
        <f>IF(('Eingabe Einzelspieler'!$I$125-1)&gt;K23,1,"")</f>
      </c>
      <c r="N23" s="10">
        <f>IF('Eingabe Einzelspieler'!$I$125=1,0,IF(K23='Eingabe Einzelspieler'!$I$125,1,0))</f>
        <v>1</v>
      </c>
      <c r="O23" s="10">
        <f t="shared" si="24"/>
        <v>116</v>
      </c>
      <c r="P23" s="10">
        <f t="shared" si="3"/>
        <v>509</v>
      </c>
      <c r="Q23" s="82">
        <f t="shared" si="4"/>
        <v>33.93333333333333</v>
      </c>
      <c r="R23" s="83">
        <f t="shared" si="5"/>
        <v>13</v>
      </c>
      <c r="S23" s="83">
        <f>COUNTIF(R$7:R23,R23)</f>
        <v>1</v>
      </c>
      <c r="T23" s="83">
        <f t="shared" si="6"/>
        <v>13</v>
      </c>
      <c r="U23" s="88">
        <f t="shared" si="25"/>
        <v>509.0013</v>
      </c>
      <c r="V23" s="34">
        <f t="shared" si="8"/>
        <v>17</v>
      </c>
      <c r="W23" s="88">
        <f t="shared" si="9"/>
        <v>527.0017</v>
      </c>
      <c r="X23" s="83">
        <f t="shared" si="10"/>
        <v>14</v>
      </c>
      <c r="Y23" s="12">
        <f t="shared" si="11"/>
        <v>17</v>
      </c>
      <c r="Z23" s="50">
        <f t="shared" si="12"/>
        <v>0</v>
      </c>
      <c r="AA23" s="52" t="str">
        <f t="shared" si="23"/>
        <v>Stenk, M</v>
      </c>
      <c r="AB23" s="52" t="str">
        <f t="shared" si="23"/>
        <v>1.MSC Wesel</v>
      </c>
      <c r="AC23" s="12">
        <f t="shared" si="23"/>
        <v>527</v>
      </c>
      <c r="AD23" s="55">
        <f t="shared" si="23"/>
        <v>111</v>
      </c>
      <c r="AE23" s="56">
        <f t="shared" si="23"/>
        <v>35.13333333333333</v>
      </c>
      <c r="AF23" s="12">
        <f t="shared" si="23"/>
        <v>111</v>
      </c>
      <c r="AG23" s="12">
        <f t="shared" si="23"/>
        <v>105</v>
      </c>
      <c r="AH23" s="12">
        <f t="shared" si="23"/>
        <v>104</v>
      </c>
      <c r="AI23" s="12">
        <f t="shared" si="23"/>
        <v>101</v>
      </c>
      <c r="AJ23" s="12">
        <f t="shared" si="23"/>
        <v>107</v>
      </c>
      <c r="AK23" s="12">
        <f t="shared" si="23"/>
        <v>110</v>
      </c>
    </row>
    <row r="24" spans="1:37" ht="12.75">
      <c r="A24" s="52">
        <v>18</v>
      </c>
      <c r="B24" s="14" t="str">
        <f>VLOOKUP($A24,'Eingabe Einzelspieler'!$K$2:$V$124,11,FALSE)</f>
        <v>Dehne, J</v>
      </c>
      <c r="C24" s="14" t="str">
        <f>VLOOKUP($A24,'Eingabe Einzelspieler'!$K$2:$V$124,12,FALSE)</f>
        <v>MGC Neviges</v>
      </c>
      <c r="D24" s="34">
        <f>IF($B24="",0,VLOOKUP($B24,'Eingabe Einzelspieler'!$A$2:$P$124,D$1,FALSE))</f>
        <v>105</v>
      </c>
      <c r="E24" s="34">
        <f>IF($B24="",0,VLOOKUP($B24,'Eingabe Einzelspieler'!$A$2:$P$124,E$1,FALSE))</f>
        <v>99</v>
      </c>
      <c r="F24" s="34">
        <f>IF($B24="",0,VLOOKUP($B24,'Eingabe Einzelspieler'!$A$2:$P$124,F$1,FALSE))</f>
        <v>91</v>
      </c>
      <c r="G24" s="34">
        <f>IF($B24="",0,VLOOKUP($B24,'Eingabe Einzelspieler'!$A$2:$P$124,G$1,FALSE))</f>
        <v>106</v>
      </c>
      <c r="H24" s="34">
        <f>IF($B24="",0,VLOOKUP($B24,'Eingabe Einzelspieler'!$A$2:$P$124,H$1,FALSE))</f>
        <v>87</v>
      </c>
      <c r="I24" s="34">
        <f>IF($B24="",0,VLOOKUP($B24,'Eingabe Einzelspieler'!$A$2:$P$124,I$1,FALSE))</f>
        <v>94</v>
      </c>
      <c r="J24" s="10">
        <f t="shared" si="0"/>
        <v>582</v>
      </c>
      <c r="K24" s="10">
        <f t="shared" si="1"/>
        <v>6</v>
      </c>
      <c r="L24" s="10">
        <f>IF($B24="",0,VLOOKUP($B24,'Eingabe Einzelspieler'!$A$2:$P$124,L$1,FALSE))</f>
        <v>0</v>
      </c>
      <c r="M24" s="10">
        <f>IF(('Eingabe Einzelspieler'!$I$125-1)&gt;K24,1,"")</f>
      </c>
      <c r="N24" s="10">
        <f>IF('Eingabe Einzelspieler'!$I$125=1,0,IF(K24='Eingabe Einzelspieler'!$I$125,1,0))</f>
        <v>1</v>
      </c>
      <c r="O24" s="10">
        <f t="shared" si="24"/>
        <v>106</v>
      </c>
      <c r="P24" s="10">
        <f t="shared" si="3"/>
        <v>476</v>
      </c>
      <c r="Q24" s="82">
        <f t="shared" si="4"/>
        <v>31.733333333333334</v>
      </c>
      <c r="R24" s="83">
        <f t="shared" si="5"/>
        <v>4</v>
      </c>
      <c r="S24" s="83">
        <f>COUNTIF(R$7:R24,R24)</f>
        <v>1</v>
      </c>
      <c r="T24" s="83">
        <f t="shared" si="6"/>
        <v>4</v>
      </c>
      <c r="U24" s="88">
        <f t="shared" si="25"/>
        <v>476.0004</v>
      </c>
      <c r="V24" s="34">
        <f t="shared" si="8"/>
        <v>18</v>
      </c>
      <c r="W24" s="88">
        <f t="shared" si="9"/>
        <v>527.0018</v>
      </c>
      <c r="X24" s="83">
        <f t="shared" si="10"/>
        <v>26</v>
      </c>
      <c r="Y24" s="12">
        <f t="shared" si="11"/>
        <v>18</v>
      </c>
      <c r="Z24" s="50">
        <f t="shared" si="12"/>
        <v>0</v>
      </c>
      <c r="AA24" s="52" t="str">
        <f t="shared" si="23"/>
        <v>Käsler, R</v>
      </c>
      <c r="AB24" s="52" t="str">
        <f t="shared" si="23"/>
        <v>BGC Uerdingen</v>
      </c>
      <c r="AC24" s="12">
        <f t="shared" si="23"/>
        <v>527</v>
      </c>
      <c r="AD24" s="55">
        <f t="shared" si="23"/>
      </c>
      <c r="AE24" s="56">
        <f t="shared" si="23"/>
        <v>35.13333333333333</v>
      </c>
      <c r="AF24" s="12">
        <f t="shared" si="23"/>
        <v>0</v>
      </c>
      <c r="AG24" s="12">
        <f t="shared" si="23"/>
        <v>108</v>
      </c>
      <c r="AH24" s="12">
        <f t="shared" si="23"/>
        <v>99</v>
      </c>
      <c r="AI24" s="12">
        <f t="shared" si="23"/>
        <v>103</v>
      </c>
      <c r="AJ24" s="12">
        <f t="shared" si="23"/>
        <v>112</v>
      </c>
      <c r="AK24" s="12">
        <f t="shared" si="23"/>
        <v>105</v>
      </c>
    </row>
    <row r="25" spans="1:37" ht="12.75">
      <c r="A25" s="52">
        <v>19</v>
      </c>
      <c r="B25" s="14" t="str">
        <f>VLOOKUP($A25,'Eingabe Einzelspieler'!$K$2:$V$124,11,FALSE)</f>
        <v>Schneider, M</v>
      </c>
      <c r="C25" s="14" t="str">
        <f>VLOOKUP($A25,'Eingabe Einzelspieler'!$K$2:$V$124,12,FALSE)</f>
        <v>MGC Neviges</v>
      </c>
      <c r="D25" s="34">
        <f>IF($B25="",0,VLOOKUP($B25,'Eingabe Einzelspieler'!$A$2:$P$124,D$1,FALSE))</f>
        <v>111</v>
      </c>
      <c r="E25" s="34">
        <f>IF($B25="",0,VLOOKUP($B25,'Eingabe Einzelspieler'!$A$2:$P$124,E$1,FALSE))</f>
        <v>103</v>
      </c>
      <c r="F25" s="34">
        <f>IF($B25="",0,VLOOKUP($B25,'Eingabe Einzelspieler'!$A$2:$P$124,F$1,FALSE))</f>
        <v>90</v>
      </c>
      <c r="G25" s="34">
        <f>IF($B25="",0,VLOOKUP($B25,'Eingabe Einzelspieler'!$A$2:$P$124,G$1,FALSE))</f>
        <v>95</v>
      </c>
      <c r="H25" s="34">
        <f>IF($B25="",0,VLOOKUP($B25,'Eingabe Einzelspieler'!$A$2:$P$124,H$1,FALSE))</f>
        <v>95</v>
      </c>
      <c r="I25" s="34">
        <f>IF($B25="",0,VLOOKUP($B25,'Eingabe Einzelspieler'!$A$2:$P$124,I$1,FALSE))</f>
        <v>102</v>
      </c>
      <c r="J25" s="10">
        <f>SUM(D25:I25)</f>
        <v>596</v>
      </c>
      <c r="K25" s="10">
        <f>COUNTIF(D25:I25,"&gt;0")</f>
        <v>6</v>
      </c>
      <c r="L25" s="10">
        <f>IF($B25="",0,VLOOKUP($B25,'Eingabe Einzelspieler'!$A$2:$P$124,L$1,FALSE))</f>
        <v>0</v>
      </c>
      <c r="M25" s="10">
        <f>IF(('Eingabe Einzelspieler'!$I$125-1)&gt;K25,1,"")</f>
      </c>
      <c r="N25" s="10">
        <f>IF('Eingabe Einzelspieler'!$I$125=1,0,IF(K25='Eingabe Einzelspieler'!$I$125,1,0))</f>
        <v>1</v>
      </c>
      <c r="O25" s="10">
        <f>IF(N25=1,LARGE(D25:I25,1),"")</f>
        <v>111</v>
      </c>
      <c r="P25" s="10">
        <f>IF(M25=1,"ADW",IF(N25=1,SUM(J25-O25),J25))</f>
        <v>485</v>
      </c>
      <c r="Q25" s="82">
        <f>IF(J25=0,0,IF(AND(K25=1,N25=1),J25/3,IF(M25=1,"",IF(N25=0,P25/K25/3,P25/(K25-N25)/3))))</f>
        <v>32.333333333333336</v>
      </c>
      <c r="R25" s="83">
        <f t="shared" si="5"/>
        <v>7</v>
      </c>
      <c r="S25" s="83">
        <f>COUNTIF(R$7:R25,R25)</f>
        <v>3</v>
      </c>
      <c r="T25" s="83">
        <f>R25+S25-1</f>
        <v>9</v>
      </c>
      <c r="U25" s="88">
        <f>IF(M25=1,2500+(T25/10000),P25+(T25/10000)+(L25/10))</f>
        <v>485.0009</v>
      </c>
      <c r="V25" s="34">
        <f>A25</f>
        <v>19</v>
      </c>
      <c r="W25" s="88">
        <f t="shared" si="9"/>
        <v>583.0019</v>
      </c>
      <c r="X25" s="83">
        <f t="shared" si="10"/>
        <v>20</v>
      </c>
      <c r="Y25" s="12">
        <f>A25</f>
        <v>19</v>
      </c>
      <c r="Z25" s="50">
        <f t="shared" si="12"/>
        <v>0</v>
      </c>
      <c r="AA25" s="52" t="str">
        <f t="shared" si="23"/>
        <v>Jaeger, B</v>
      </c>
      <c r="AB25" s="52" t="str">
        <f t="shared" si="23"/>
        <v>MGC Neviges</v>
      </c>
      <c r="AC25" s="12">
        <f t="shared" si="23"/>
        <v>583</v>
      </c>
      <c r="AD25" s="55">
        <f t="shared" si="23"/>
      </c>
      <c r="AE25" s="56">
        <f t="shared" si="23"/>
        <v>38.86666666666667</v>
      </c>
      <c r="AF25" s="12">
        <f t="shared" si="23"/>
        <v>123</v>
      </c>
      <c r="AG25" s="12">
        <f t="shared" si="23"/>
        <v>109</v>
      </c>
      <c r="AH25" s="12">
        <f t="shared" si="23"/>
        <v>108</v>
      </c>
      <c r="AI25" s="12">
        <f t="shared" si="23"/>
        <v>0</v>
      </c>
      <c r="AJ25" s="12">
        <f t="shared" si="23"/>
        <v>111</v>
      </c>
      <c r="AK25" s="12">
        <f t="shared" si="23"/>
        <v>132</v>
      </c>
    </row>
    <row r="26" spans="1:37" ht="12.75" hidden="1">
      <c r="A26" s="52">
        <v>20</v>
      </c>
      <c r="B26" s="14" t="str">
        <f>VLOOKUP($A26,'Eingabe Einzelspieler'!$K$2:$V$124,11,FALSE)</f>
        <v>Jaeger, B</v>
      </c>
      <c r="C26" s="14" t="str">
        <f>VLOOKUP($A26,'Eingabe Einzelspieler'!$K$2:$V$124,12,FALSE)</f>
        <v>MGC Neviges</v>
      </c>
      <c r="D26" s="34">
        <f>IF($B26="",0,VLOOKUP($B26,'Eingabe Einzelspieler'!$A$2:$P$124,D$1,FALSE))</f>
        <v>123</v>
      </c>
      <c r="E26" s="34">
        <f>IF($B26="",0,VLOOKUP($B26,'Eingabe Einzelspieler'!$A$2:$P$124,E$1,FALSE))</f>
        <v>109</v>
      </c>
      <c r="F26" s="34">
        <f>IF($B26="",0,VLOOKUP($B26,'Eingabe Einzelspieler'!$A$2:$P$124,F$1,FALSE))</f>
        <v>108</v>
      </c>
      <c r="G26" s="34">
        <f>IF($B26="",0,VLOOKUP($B26,'Eingabe Einzelspieler'!$A$2:$P$124,G$1,FALSE))</f>
        <v>0</v>
      </c>
      <c r="H26" s="34">
        <f>IF($B26="",0,VLOOKUP($B26,'Eingabe Einzelspieler'!$A$2:$P$124,H$1,FALSE))</f>
        <v>111</v>
      </c>
      <c r="I26" s="34">
        <f>IF($B26="",0,VLOOKUP($B26,'Eingabe Einzelspieler'!$A$2:$P$124,I$1,FALSE))</f>
        <v>132</v>
      </c>
      <c r="J26" s="10">
        <f t="shared" si="0"/>
        <v>583</v>
      </c>
      <c r="K26" s="10">
        <f t="shared" si="1"/>
        <v>5</v>
      </c>
      <c r="L26" s="10">
        <f>IF($B26="",0,VLOOKUP($B26,'Eingabe Einzelspieler'!$A$2:$P$124,L$1,FALSE))</f>
        <v>0</v>
      </c>
      <c r="M26" s="10">
        <f>IF(('Eingabe Einzelspieler'!$I$125-1)&gt;K26,1,"")</f>
      </c>
      <c r="N26" s="10">
        <f>IF('Eingabe Einzelspieler'!$I$125=1,0,IF(K26='Eingabe Einzelspieler'!$I$125,1,0))</f>
        <v>0</v>
      </c>
      <c r="O26" s="10">
        <f t="shared" si="24"/>
      </c>
      <c r="P26" s="10">
        <f t="shared" si="3"/>
        <v>583</v>
      </c>
      <c r="Q26" s="82">
        <f t="shared" si="4"/>
        <v>38.86666666666667</v>
      </c>
      <c r="R26" s="83">
        <f t="shared" si="5"/>
        <v>19</v>
      </c>
      <c r="S26" s="83">
        <f>COUNTIF(R$7:R26,R26)</f>
        <v>1</v>
      </c>
      <c r="T26" s="83">
        <f t="shared" si="6"/>
        <v>19</v>
      </c>
      <c r="U26" s="88">
        <f t="shared" si="25"/>
        <v>583.0019</v>
      </c>
      <c r="V26" s="34">
        <f t="shared" si="8"/>
        <v>20</v>
      </c>
      <c r="W26" s="88">
        <f t="shared" si="9"/>
        <v>2500.01</v>
      </c>
      <c r="X26" s="83">
        <f t="shared" si="10"/>
        <v>1</v>
      </c>
      <c r="Y26" s="12">
        <f t="shared" si="11"/>
        <v>20</v>
      </c>
      <c r="Z26" s="50">
        <f t="shared" si="12"/>
        <v>0</v>
      </c>
      <c r="AA26" s="52" t="str">
        <f t="shared" si="23"/>
        <v>Gregorszewski, K</v>
      </c>
      <c r="AB26" s="52" t="str">
        <f t="shared" si="23"/>
        <v>MGC "AS" Witten</v>
      </c>
      <c r="AC26" s="12" t="str">
        <f t="shared" si="23"/>
        <v>ADW</v>
      </c>
      <c r="AD26" s="55">
        <f t="shared" si="23"/>
      </c>
      <c r="AE26" s="56">
        <f t="shared" si="23"/>
      </c>
      <c r="AF26" s="12">
        <f t="shared" si="23"/>
        <v>98</v>
      </c>
      <c r="AG26" s="12">
        <f t="shared" si="23"/>
        <v>98</v>
      </c>
      <c r="AH26" s="12">
        <f t="shared" si="23"/>
        <v>0</v>
      </c>
      <c r="AI26" s="12">
        <f t="shared" si="23"/>
        <v>0</v>
      </c>
      <c r="AJ26" s="12">
        <f t="shared" si="23"/>
        <v>0</v>
      </c>
      <c r="AK26" s="12">
        <f t="shared" si="23"/>
        <v>0</v>
      </c>
    </row>
    <row r="27" spans="1:37" ht="12.75" hidden="1">
      <c r="A27" s="52">
        <v>21</v>
      </c>
      <c r="B27" s="14" t="str">
        <f>VLOOKUP($A27,'Eingabe Einzelspieler'!$K$2:$V$124,11,FALSE)</f>
        <v>Pohlig, G</v>
      </c>
      <c r="C27" s="14" t="str">
        <f>VLOOKUP($A27,'Eingabe Einzelspieler'!$K$2:$V$124,12,FALSE)</f>
        <v>BGC Uerdingen</v>
      </c>
      <c r="D27" s="34">
        <f>IF($B27="",0,VLOOKUP($B27,'Eingabe Einzelspieler'!$A$2:$P$124,D$1,FALSE))</f>
        <v>122</v>
      </c>
      <c r="E27" s="34">
        <f>IF($B27="",0,VLOOKUP($B27,'Eingabe Einzelspieler'!$A$2:$P$124,E$1,FALSE))</f>
        <v>106</v>
      </c>
      <c r="F27" s="34">
        <f>IF($B27="",0,VLOOKUP($B27,'Eingabe Einzelspieler'!$A$2:$P$124,F$1,FALSE))</f>
        <v>0</v>
      </c>
      <c r="G27" s="34">
        <f>IF($B27="",0,VLOOKUP($B27,'Eingabe Einzelspieler'!$A$2:$P$124,G$1,FALSE))</f>
        <v>0</v>
      </c>
      <c r="H27" s="34">
        <f>IF($B27="",0,VLOOKUP($B27,'Eingabe Einzelspieler'!$A$2:$P$124,H$1,FALSE))</f>
        <v>0</v>
      </c>
      <c r="I27" s="34">
        <f>IF($B27="",0,VLOOKUP($B27,'Eingabe Einzelspieler'!$A$2:$P$124,I$1,FALSE))</f>
        <v>0</v>
      </c>
      <c r="J27" s="10">
        <f>SUM(D27:I27)</f>
        <v>228</v>
      </c>
      <c r="K27" s="10">
        <f>COUNTIF(D27:I27,"&gt;0")</f>
        <v>2</v>
      </c>
      <c r="L27" s="10">
        <f>IF($B27="",0,VLOOKUP($B27,'Eingabe Einzelspieler'!$A$2:$P$124,L$1,FALSE))</f>
        <v>0</v>
      </c>
      <c r="M27" s="10">
        <f>IF(('Eingabe Einzelspieler'!$I$125-1)&gt;K27,1,"")</f>
        <v>1</v>
      </c>
      <c r="N27" s="10">
        <f>IF('Eingabe Einzelspieler'!$I$125=1,0,IF(K27='Eingabe Einzelspieler'!$I$125,1,0))</f>
        <v>0</v>
      </c>
      <c r="O27" s="10">
        <f>IF(N27=1,LARGE(D27:I27,1),"")</f>
      </c>
      <c r="P27" s="10" t="str">
        <f>IF(M27=1,"ADW",IF(N27=1,SUM(J27-O27),J27))</f>
        <v>ADW</v>
      </c>
      <c r="Q27" s="82">
        <f>IF(J27=0,0,IF(AND(K27=1,N27=1),J27/3,IF(M27=1,"",IF(N27=0,P27/K27/3,P27/(K27-N27)/3))))</f>
      </c>
      <c r="R27" s="83">
        <f t="shared" si="5"/>
        <v>100</v>
      </c>
      <c r="S27" s="83">
        <f>COUNTIF(R$7:R27,R27)</f>
        <v>5</v>
      </c>
      <c r="T27" s="83">
        <f>R27+S27-1</f>
        <v>104</v>
      </c>
      <c r="U27" s="88">
        <f>IF(M27=1,2500+(T27/10000),P27+(T27/10000)+(L27/10))</f>
        <v>2500.0104</v>
      </c>
      <c r="V27" s="34">
        <f>A27</f>
        <v>21</v>
      </c>
      <c r="W27" s="88">
        <f t="shared" si="9"/>
        <v>2500.0101</v>
      </c>
      <c r="X27" s="83">
        <f t="shared" si="10"/>
        <v>9</v>
      </c>
      <c r="Y27" s="12">
        <f>A27</f>
        <v>21</v>
      </c>
      <c r="Z27" s="50">
        <f t="shared" si="12"/>
        <v>0</v>
      </c>
      <c r="AA27" s="52" t="str">
        <f t="shared" si="23"/>
        <v>Seele, J</v>
      </c>
      <c r="AB27" s="52" t="str">
        <f t="shared" si="23"/>
        <v>1.MGC Gelsenkirchen</v>
      </c>
      <c r="AC27" s="12" t="str">
        <f t="shared" si="23"/>
        <v>ADW</v>
      </c>
      <c r="AD27" s="55">
        <f t="shared" si="23"/>
      </c>
      <c r="AE27" s="56">
        <f t="shared" si="23"/>
      </c>
      <c r="AF27" s="12">
        <f t="shared" si="23"/>
        <v>119</v>
      </c>
      <c r="AG27" s="12">
        <f t="shared" si="23"/>
        <v>110</v>
      </c>
      <c r="AH27" s="12">
        <f t="shared" si="23"/>
        <v>0</v>
      </c>
      <c r="AI27" s="12">
        <f t="shared" si="23"/>
        <v>0</v>
      </c>
      <c r="AJ27" s="12">
        <f t="shared" si="23"/>
        <v>0</v>
      </c>
      <c r="AK27" s="12">
        <f t="shared" si="23"/>
        <v>0</v>
      </c>
    </row>
    <row r="28" spans="1:37" ht="12.75" hidden="1">
      <c r="A28" s="52">
        <v>22</v>
      </c>
      <c r="B28" s="14" t="str">
        <f>VLOOKUP($A28,'Eingabe Einzelspieler'!$K$2:$V$124,11,FALSE)</f>
        <v>Hegers, S</v>
      </c>
      <c r="C28" s="14" t="str">
        <f>VLOOKUP($A28,'Eingabe Einzelspieler'!$K$2:$V$124,12,FALSE)</f>
        <v>BGC Uerdingen</v>
      </c>
      <c r="D28" s="34">
        <f>IF($B28="",0,VLOOKUP($B28,'Eingabe Einzelspieler'!$A$2:$P$124,D$1,FALSE))</f>
        <v>104</v>
      </c>
      <c r="E28" s="34">
        <f>IF($B28="",0,VLOOKUP($B28,'Eingabe Einzelspieler'!$A$2:$P$124,E$1,FALSE))</f>
        <v>0</v>
      </c>
      <c r="F28" s="34">
        <f>IF($B28="",0,VLOOKUP($B28,'Eingabe Einzelspieler'!$A$2:$P$124,F$1,FALSE))</f>
        <v>103</v>
      </c>
      <c r="G28" s="34">
        <f>IF($B28="",0,VLOOKUP($B28,'Eingabe Einzelspieler'!$A$2:$P$124,G$1,FALSE))</f>
        <v>100</v>
      </c>
      <c r="H28" s="34">
        <f>IF($B28="",0,VLOOKUP($B28,'Eingabe Einzelspieler'!$A$2:$P$124,H$1,FALSE))</f>
        <v>102</v>
      </c>
      <c r="I28" s="34">
        <f>IF($B28="",0,VLOOKUP($B28,'Eingabe Einzelspieler'!$A$2:$P$124,I$1,FALSE))</f>
        <v>105</v>
      </c>
      <c r="J28" s="10">
        <f t="shared" si="0"/>
        <v>514</v>
      </c>
      <c r="K28" s="10">
        <f t="shared" si="1"/>
        <v>5</v>
      </c>
      <c r="L28" s="10">
        <f>IF($B28="",0,VLOOKUP($B28,'Eingabe Einzelspieler'!$A$2:$P$124,L$1,FALSE))</f>
        <v>0</v>
      </c>
      <c r="M28" s="10">
        <f>IF(('Eingabe Einzelspieler'!$I$125-1)&gt;K28,1,"")</f>
      </c>
      <c r="N28" s="10">
        <f>IF('Eingabe Einzelspieler'!$I$125=1,0,IF(K28='Eingabe Einzelspieler'!$I$125,1,0))</f>
        <v>0</v>
      </c>
      <c r="O28" s="10">
        <f t="shared" si="24"/>
      </c>
      <c r="P28" s="10">
        <f t="shared" si="3"/>
        <v>514</v>
      </c>
      <c r="Q28" s="82">
        <f t="shared" si="4"/>
        <v>34.266666666666666</v>
      </c>
      <c r="R28" s="83">
        <f t="shared" si="5"/>
        <v>16</v>
      </c>
      <c r="S28" s="83">
        <f>COUNTIF(R$7:R28,R28)</f>
        <v>1</v>
      </c>
      <c r="T28" s="83">
        <f t="shared" si="6"/>
        <v>16</v>
      </c>
      <c r="U28" s="88">
        <f t="shared" si="25"/>
        <v>514.0016</v>
      </c>
      <c r="V28" s="34">
        <f t="shared" si="8"/>
        <v>22</v>
      </c>
      <c r="W28" s="88">
        <f t="shared" si="9"/>
        <v>2500.0102</v>
      </c>
      <c r="X28" s="83">
        <f t="shared" si="10"/>
        <v>12</v>
      </c>
      <c r="Y28" s="12">
        <f t="shared" si="11"/>
        <v>22</v>
      </c>
      <c r="Z28" s="50">
        <f t="shared" si="12"/>
        <v>0</v>
      </c>
      <c r="AA28" s="52" t="str">
        <f t="shared" si="23"/>
        <v>Rüger, M</v>
      </c>
      <c r="AB28" s="52" t="str">
        <f t="shared" si="23"/>
        <v>1.MSC Wesel</v>
      </c>
      <c r="AC28" s="12" t="str">
        <f t="shared" si="23"/>
        <v>ADW</v>
      </c>
      <c r="AD28" s="55">
        <f t="shared" si="23"/>
      </c>
      <c r="AE28" s="56">
        <f t="shared" si="23"/>
      </c>
      <c r="AF28" s="12">
        <f t="shared" si="23"/>
        <v>117</v>
      </c>
      <c r="AG28" s="12">
        <f t="shared" si="23"/>
        <v>0</v>
      </c>
      <c r="AH28" s="12">
        <f t="shared" si="23"/>
        <v>100</v>
      </c>
      <c r="AI28" s="12">
        <f t="shared" si="23"/>
        <v>110</v>
      </c>
      <c r="AJ28" s="12">
        <f t="shared" si="23"/>
        <v>109</v>
      </c>
      <c r="AK28" s="12">
        <f t="shared" si="23"/>
        <v>0</v>
      </c>
    </row>
    <row r="29" spans="1:37" ht="12.75" hidden="1">
      <c r="A29" s="52">
        <v>23</v>
      </c>
      <c r="B29" s="14" t="str">
        <f>VLOOKUP($A29,'Eingabe Einzelspieler'!$K$2:$V$124,11,FALSE)</f>
        <v>Bork, W</v>
      </c>
      <c r="C29" s="14" t="str">
        <f>VLOOKUP($A29,'Eingabe Einzelspieler'!$K$2:$V$124,12,FALSE)</f>
        <v>BGC Uerdingen</v>
      </c>
      <c r="D29" s="34">
        <f>IF($B29="",0,VLOOKUP($B29,'Eingabe Einzelspieler'!$A$2:$P$124,D$1,FALSE))</f>
        <v>98</v>
      </c>
      <c r="E29" s="34">
        <f>IF($B29="",0,VLOOKUP($B29,'Eingabe Einzelspieler'!$A$2:$P$124,E$1,FALSE))</f>
        <v>98</v>
      </c>
      <c r="F29" s="34">
        <f>IF($B29="",0,VLOOKUP($B29,'Eingabe Einzelspieler'!$A$2:$P$124,F$1,FALSE))</f>
        <v>108</v>
      </c>
      <c r="G29" s="34">
        <f>IF($B29="",0,VLOOKUP($B29,'Eingabe Einzelspieler'!$A$2:$P$124,G$1,FALSE))</f>
        <v>87</v>
      </c>
      <c r="H29" s="34">
        <f>IF($B29="",0,VLOOKUP($B29,'Eingabe Einzelspieler'!$A$2:$P$124,H$1,FALSE))</f>
        <v>101</v>
      </c>
      <c r="I29" s="34">
        <f>IF($B29="",0,VLOOKUP($B29,'Eingabe Einzelspieler'!$A$2:$P$124,I$1,FALSE))</f>
        <v>106</v>
      </c>
      <c r="J29" s="10">
        <f t="shared" si="0"/>
        <v>598</v>
      </c>
      <c r="K29" s="10">
        <f t="shared" si="1"/>
        <v>6</v>
      </c>
      <c r="L29" s="10">
        <f>IF($B29="",0,VLOOKUP($B29,'Eingabe Einzelspieler'!$A$2:$P$124,L$1,FALSE))</f>
        <v>0</v>
      </c>
      <c r="M29" s="10">
        <f>IF(('Eingabe Einzelspieler'!$I$125-1)&gt;K29,1,"")</f>
      </c>
      <c r="N29" s="10">
        <f>IF('Eingabe Einzelspieler'!$I$125=1,0,IF(K29='Eingabe Einzelspieler'!$I$125,1,0))</f>
        <v>1</v>
      </c>
      <c r="O29" s="10">
        <f t="shared" si="24"/>
        <v>108</v>
      </c>
      <c r="P29" s="10">
        <f t="shared" si="3"/>
        <v>490</v>
      </c>
      <c r="Q29" s="82">
        <f t="shared" si="4"/>
        <v>32.666666666666664</v>
      </c>
      <c r="R29" s="83">
        <f>IF(M29=1,100,RANK(P29,$P$7:$P$32,1))</f>
        <v>10</v>
      </c>
      <c r="S29" s="83">
        <f>COUNTIF(R$7:R29,R29)</f>
        <v>1</v>
      </c>
      <c r="T29" s="83">
        <f t="shared" si="6"/>
        <v>10</v>
      </c>
      <c r="U29" s="88">
        <f t="shared" si="25"/>
        <v>490.001</v>
      </c>
      <c r="V29" s="34">
        <f t="shared" si="8"/>
        <v>23</v>
      </c>
      <c r="W29" s="88">
        <f>SMALL(U$7:U$32,A29)</f>
        <v>2500.0103</v>
      </c>
      <c r="X29" s="83">
        <f>VLOOKUP(W29,U$7:V$32,$X$1,FALSE)</f>
        <v>13</v>
      </c>
      <c r="Y29" s="12">
        <f t="shared" si="11"/>
        <v>23</v>
      </c>
      <c r="Z29" s="50">
        <f t="shared" si="12"/>
        <v>0</v>
      </c>
      <c r="AA29" s="52" t="str">
        <f t="shared" si="23"/>
        <v>Stodtmeister, H</v>
      </c>
      <c r="AB29" s="52" t="str">
        <f t="shared" si="23"/>
        <v>1.MSC Wesel</v>
      </c>
      <c r="AC29" s="12" t="str">
        <f t="shared" si="23"/>
        <v>ADW</v>
      </c>
      <c r="AD29" s="55">
        <f t="shared" si="23"/>
      </c>
      <c r="AE29" s="56">
        <f t="shared" si="23"/>
      </c>
      <c r="AF29" s="12">
        <f t="shared" si="23"/>
        <v>135</v>
      </c>
      <c r="AG29" s="12">
        <f t="shared" si="23"/>
        <v>126</v>
      </c>
      <c r="AH29" s="12">
        <f t="shared" si="23"/>
        <v>109</v>
      </c>
      <c r="AI29" s="12">
        <f t="shared" si="23"/>
        <v>108</v>
      </c>
      <c r="AJ29" s="12">
        <f t="shared" si="23"/>
        <v>0</v>
      </c>
      <c r="AK29" s="12">
        <f t="shared" si="23"/>
        <v>0</v>
      </c>
    </row>
    <row r="30" spans="1:37" ht="12.75" hidden="1">
      <c r="A30" s="52">
        <v>24</v>
      </c>
      <c r="B30" s="14" t="str">
        <f>VLOOKUP($A30,'Eingabe Einzelspieler'!$K$2:$V$124,11,FALSE)</f>
        <v>Mosch, W</v>
      </c>
      <c r="C30" s="14" t="str">
        <f>VLOOKUP($A30,'Eingabe Einzelspieler'!$K$2:$V$124,12,FALSE)</f>
        <v>BGC Uerdingen</v>
      </c>
      <c r="D30" s="34">
        <f>IF($B30="",0,VLOOKUP($B30,'Eingabe Einzelspieler'!$A$2:$P$124,D$1,FALSE))</f>
        <v>96</v>
      </c>
      <c r="E30" s="34">
        <f>IF($B30="",0,VLOOKUP($B30,'Eingabe Einzelspieler'!$A$2:$P$124,E$1,FALSE))</f>
        <v>91</v>
      </c>
      <c r="F30" s="34">
        <f>IF($B30="",0,VLOOKUP($B30,'Eingabe Einzelspieler'!$A$2:$P$124,F$1,FALSE))</f>
        <v>95</v>
      </c>
      <c r="G30" s="34">
        <f>IF($B30="",0,VLOOKUP($B30,'Eingabe Einzelspieler'!$A$2:$P$124,G$1,FALSE))</f>
        <v>0</v>
      </c>
      <c r="H30" s="34">
        <f>IF($B30="",0,VLOOKUP($B30,'Eingabe Einzelspieler'!$A$2:$P$124,H$1,FALSE))</f>
        <v>0</v>
      </c>
      <c r="I30" s="34">
        <f>IF($B30="",0,VLOOKUP($B30,'Eingabe Einzelspieler'!$A$2:$P$124,I$1,FALSE))</f>
        <v>0</v>
      </c>
      <c r="J30" s="10">
        <f t="shared" si="0"/>
        <v>282</v>
      </c>
      <c r="K30" s="10">
        <f t="shared" si="1"/>
        <v>3</v>
      </c>
      <c r="L30" s="10">
        <f>IF($B30="",0,VLOOKUP($B30,'Eingabe Einzelspieler'!$A$2:$P$124,L$1,FALSE))</f>
        <v>0</v>
      </c>
      <c r="M30" s="10">
        <f>IF(('Eingabe Einzelspieler'!$I$125-1)&gt;K30,1,"")</f>
        <v>1</v>
      </c>
      <c r="N30" s="10">
        <f>IF('Eingabe Einzelspieler'!$I$125=1,0,IF(K30='Eingabe Einzelspieler'!$I$125,1,0))</f>
        <v>0</v>
      </c>
      <c r="O30" s="10">
        <f t="shared" si="24"/>
      </c>
      <c r="P30" s="10" t="str">
        <f t="shared" si="3"/>
        <v>ADW</v>
      </c>
      <c r="Q30" s="82">
        <f t="shared" si="4"/>
      </c>
      <c r="R30" s="83">
        <f>IF(M30=1,100,RANK(P30,$P$7:$P$32,1))</f>
        <v>100</v>
      </c>
      <c r="S30" s="83">
        <f>COUNTIF(R$7:R30,R30)</f>
        <v>6</v>
      </c>
      <c r="T30" s="83">
        <f t="shared" si="6"/>
        <v>105</v>
      </c>
      <c r="U30" s="88">
        <f t="shared" si="25"/>
        <v>2500.0105</v>
      </c>
      <c r="V30" s="34">
        <f t="shared" si="8"/>
        <v>24</v>
      </c>
      <c r="W30" s="88">
        <f>SMALL(U$7:U$32,A30)</f>
        <v>2500.0104</v>
      </c>
      <c r="X30" s="83">
        <f>VLOOKUP(W30,U$7:V$32,$X$1,FALSE)</f>
        <v>21</v>
      </c>
      <c r="Y30" s="12">
        <f t="shared" si="11"/>
        <v>24</v>
      </c>
      <c r="Z30" s="50">
        <f t="shared" si="12"/>
        <v>0</v>
      </c>
      <c r="AA30" s="52" t="str">
        <f t="shared" si="23"/>
        <v>Pohlig, G</v>
      </c>
      <c r="AB30" s="52" t="str">
        <f t="shared" si="23"/>
        <v>BGC Uerdingen</v>
      </c>
      <c r="AC30" s="12" t="str">
        <f t="shared" si="23"/>
        <v>ADW</v>
      </c>
      <c r="AD30" s="55">
        <f t="shared" si="23"/>
      </c>
      <c r="AE30" s="56">
        <f t="shared" si="23"/>
      </c>
      <c r="AF30" s="12">
        <f t="shared" si="23"/>
        <v>122</v>
      </c>
      <c r="AG30" s="12">
        <f t="shared" si="23"/>
        <v>106</v>
      </c>
      <c r="AH30" s="12">
        <f t="shared" si="23"/>
        <v>0</v>
      </c>
      <c r="AI30" s="12">
        <f t="shared" si="23"/>
        <v>0</v>
      </c>
      <c r="AJ30" s="12">
        <f t="shared" si="23"/>
        <v>0</v>
      </c>
      <c r="AK30" s="12">
        <f t="shared" si="23"/>
        <v>0</v>
      </c>
    </row>
    <row r="31" spans="1:37" ht="12.75" hidden="1">
      <c r="A31" s="52">
        <v>25</v>
      </c>
      <c r="B31" s="14" t="str">
        <f>VLOOKUP($A31,'Eingabe Einzelspieler'!$K$2:$V$124,11,FALSE)</f>
        <v>Hohmann, M</v>
      </c>
      <c r="C31" s="14" t="str">
        <f>VLOOKUP($A31,'Eingabe Einzelspieler'!$K$2:$V$124,12,FALSE)</f>
        <v>BGC Uerdingen</v>
      </c>
      <c r="D31" s="34">
        <f>IF($B31="",0,VLOOKUP($B31,'Eingabe Einzelspieler'!$A$2:$P$124,D$1,FALSE))</f>
        <v>0</v>
      </c>
      <c r="E31" s="34">
        <f>IF($B31="",0,VLOOKUP($B31,'Eingabe Einzelspieler'!$A$2:$P$124,E$1,FALSE))</f>
        <v>94</v>
      </c>
      <c r="F31" s="34">
        <f>IF($B31="",0,VLOOKUP($B31,'Eingabe Einzelspieler'!$A$2:$P$124,F$1,FALSE))</f>
        <v>0</v>
      </c>
      <c r="G31" s="34">
        <f>IF($B31="",0,VLOOKUP($B31,'Eingabe Einzelspieler'!$A$2:$P$124,G$1,FALSE))</f>
        <v>0</v>
      </c>
      <c r="H31" s="34">
        <f>IF($B31="",0,VLOOKUP($B31,'Eingabe Einzelspieler'!$A$2:$P$124,H$1,FALSE))</f>
        <v>0</v>
      </c>
      <c r="I31" s="34">
        <f>IF($B31="",0,VLOOKUP($B31,'Eingabe Einzelspieler'!$A$2:$P$124,I$1,FALSE))</f>
        <v>0</v>
      </c>
      <c r="J31" s="10">
        <f>SUM(D31:I31)</f>
        <v>94</v>
      </c>
      <c r="K31" s="10">
        <f>COUNTIF(D31:I31,"&gt;0")</f>
        <v>1</v>
      </c>
      <c r="L31" s="10">
        <f>IF($B31="",0,VLOOKUP($B31,'Eingabe Einzelspieler'!$A$2:$P$124,L$1,FALSE))</f>
        <v>0</v>
      </c>
      <c r="M31" s="10">
        <f>IF(('Eingabe Einzelspieler'!$I$125-1)&gt;K31,1,"")</f>
        <v>1</v>
      </c>
      <c r="N31" s="10">
        <f>IF('Eingabe Einzelspieler'!$I$125=1,0,IF(K31='Eingabe Einzelspieler'!$I$125,1,0))</f>
        <v>0</v>
      </c>
      <c r="O31" s="10">
        <f>IF(N31=1,LARGE(D31:I31,1),"")</f>
      </c>
      <c r="P31" s="10" t="str">
        <f>IF(M31=1,"ADW",IF(N31=1,SUM(J31-O31),J31))</f>
        <v>ADW</v>
      </c>
      <c r="Q31" s="82">
        <f>IF(J31=0,0,IF(AND(K31=1,N31=1),J31/3,IF(M31=1,"",IF(N31=0,P31/K31/3,P31/(K31-N31)/3))))</f>
      </c>
      <c r="R31" s="83">
        <f t="shared" si="5"/>
        <v>100</v>
      </c>
      <c r="S31" s="83">
        <f>COUNTIF(R$7:R31,R31)</f>
        <v>7</v>
      </c>
      <c r="T31" s="83">
        <f>R31+S31-1</f>
        <v>106</v>
      </c>
      <c r="U31" s="88">
        <f>IF(M31=1,2500+(T31/10000),P31+(T31/10000)+(L31/10))</f>
        <v>2500.0106</v>
      </c>
      <c r="V31" s="34">
        <f>A31</f>
        <v>25</v>
      </c>
      <c r="W31" s="88">
        <f t="shared" si="9"/>
        <v>2500.0105</v>
      </c>
      <c r="X31" s="83">
        <f t="shared" si="10"/>
        <v>24</v>
      </c>
      <c r="Y31" s="12">
        <f>A31</f>
        <v>25</v>
      </c>
      <c r="Z31" s="50">
        <f t="shared" si="12"/>
        <v>0</v>
      </c>
      <c r="AA31" s="52" t="str">
        <f t="shared" si="23"/>
        <v>Mosch, W</v>
      </c>
      <c r="AB31" s="52" t="str">
        <f t="shared" si="23"/>
        <v>BGC Uerdingen</v>
      </c>
      <c r="AC31" s="12" t="str">
        <f t="shared" si="23"/>
        <v>ADW</v>
      </c>
      <c r="AD31" s="55">
        <f t="shared" si="23"/>
      </c>
      <c r="AE31" s="56">
        <f t="shared" si="23"/>
      </c>
      <c r="AF31" s="12">
        <f t="shared" si="23"/>
        <v>96</v>
      </c>
      <c r="AG31" s="12">
        <f t="shared" si="23"/>
        <v>91</v>
      </c>
      <c r="AH31" s="12">
        <f t="shared" si="23"/>
        <v>95</v>
      </c>
      <c r="AI31" s="12">
        <f t="shared" si="23"/>
        <v>0</v>
      </c>
      <c r="AJ31" s="12">
        <f t="shared" si="23"/>
        <v>0</v>
      </c>
      <c r="AK31" s="12">
        <f t="shared" si="23"/>
        <v>0</v>
      </c>
    </row>
    <row r="32" spans="1:37" ht="12.75" hidden="1">
      <c r="A32" s="52">
        <v>26</v>
      </c>
      <c r="B32" s="14" t="str">
        <f>VLOOKUP($A32,'Eingabe Einzelspieler'!$K$2:$V$124,11,FALSE)</f>
        <v>Käsler, R</v>
      </c>
      <c r="C32" s="14" t="str">
        <f>VLOOKUP($A32,'Eingabe Einzelspieler'!$K$2:$V$124,12,FALSE)</f>
        <v>BGC Uerdingen</v>
      </c>
      <c r="D32" s="34">
        <f>IF($B32="",0,VLOOKUP($B32,'Eingabe Einzelspieler'!$A$2:$P$124,D$1,FALSE))</f>
        <v>0</v>
      </c>
      <c r="E32" s="34">
        <f>IF($B32="",0,VLOOKUP($B32,'Eingabe Einzelspieler'!$A$2:$P$124,E$1,FALSE))</f>
        <v>108</v>
      </c>
      <c r="F32" s="34">
        <f>IF($B32="",0,VLOOKUP($B32,'Eingabe Einzelspieler'!$A$2:$P$124,F$1,FALSE))</f>
        <v>99</v>
      </c>
      <c r="G32" s="34">
        <f>IF($B32="",0,VLOOKUP($B32,'Eingabe Einzelspieler'!$A$2:$P$124,G$1,FALSE))</f>
        <v>103</v>
      </c>
      <c r="H32" s="34">
        <f>IF($B32="",0,VLOOKUP($B32,'Eingabe Einzelspieler'!$A$2:$P$124,H$1,FALSE))</f>
        <v>112</v>
      </c>
      <c r="I32" s="34">
        <f>IF($B32="",0,VLOOKUP($B32,'Eingabe Einzelspieler'!$A$2:$P$124,I$1,FALSE))</f>
        <v>105</v>
      </c>
      <c r="J32" s="10">
        <f t="shared" si="0"/>
        <v>527</v>
      </c>
      <c r="K32" s="10">
        <f t="shared" si="1"/>
        <v>5</v>
      </c>
      <c r="L32" s="10">
        <f>IF($B32="",0,VLOOKUP($B32,'Eingabe Einzelspieler'!$A$2:$P$124,L$1,FALSE))</f>
        <v>0</v>
      </c>
      <c r="M32" s="10">
        <f>IF(('Eingabe Einzelspieler'!$I$125-1)&gt;K32,1,"")</f>
      </c>
      <c r="N32" s="10">
        <f>IF('Eingabe Einzelspieler'!$I$125=1,0,IF(K32='Eingabe Einzelspieler'!$I$125,1,0))</f>
        <v>0</v>
      </c>
      <c r="O32" s="10">
        <f t="shared" si="24"/>
      </c>
      <c r="P32" s="10">
        <f t="shared" si="3"/>
        <v>527</v>
      </c>
      <c r="Q32" s="82">
        <f t="shared" si="4"/>
        <v>35.13333333333333</v>
      </c>
      <c r="R32" s="83">
        <f t="shared" si="5"/>
        <v>17</v>
      </c>
      <c r="S32" s="83">
        <f>COUNTIF(R$7:R32,R32)</f>
        <v>2</v>
      </c>
      <c r="T32" s="83">
        <f t="shared" si="6"/>
        <v>18</v>
      </c>
      <c r="U32" s="88">
        <f t="shared" si="25"/>
        <v>527.0018</v>
      </c>
      <c r="V32" s="34">
        <f t="shared" si="8"/>
        <v>26</v>
      </c>
      <c r="W32" s="88">
        <f t="shared" si="9"/>
        <v>2500.0106</v>
      </c>
      <c r="X32" s="83">
        <f t="shared" si="10"/>
        <v>25</v>
      </c>
      <c r="Y32" s="12">
        <f t="shared" si="11"/>
        <v>26</v>
      </c>
      <c r="Z32" s="50">
        <f t="shared" si="12"/>
        <v>0</v>
      </c>
      <c r="AA32" s="52" t="str">
        <f t="shared" si="23"/>
        <v>Hohmann, M</v>
      </c>
      <c r="AB32" s="52" t="str">
        <f t="shared" si="23"/>
        <v>BGC Uerdingen</v>
      </c>
      <c r="AC32" s="12" t="str">
        <f t="shared" si="23"/>
        <v>ADW</v>
      </c>
      <c r="AD32" s="55">
        <f t="shared" si="23"/>
      </c>
      <c r="AE32" s="56">
        <f t="shared" si="23"/>
      </c>
      <c r="AF32" s="12">
        <f t="shared" si="23"/>
        <v>0</v>
      </c>
      <c r="AG32" s="12">
        <f t="shared" si="23"/>
        <v>94</v>
      </c>
      <c r="AH32" s="12">
        <f t="shared" si="23"/>
        <v>0</v>
      </c>
      <c r="AI32" s="12">
        <f t="shared" si="23"/>
        <v>0</v>
      </c>
      <c r="AJ32" s="12">
        <f t="shared" si="23"/>
        <v>0</v>
      </c>
      <c r="AK32" s="12">
        <f t="shared" si="23"/>
        <v>0</v>
      </c>
    </row>
    <row r="33" spans="4:30" ht="12.7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Q33" s="85"/>
      <c r="R33" s="85"/>
      <c r="S33" s="85"/>
      <c r="T33" s="85"/>
      <c r="U33" s="85"/>
      <c r="W33" s="89"/>
      <c r="X33" s="86"/>
      <c r="AC33" s="12"/>
      <c r="AD33" s="57"/>
    </row>
    <row r="34" spans="2:30" ht="12.75">
      <c r="B34" s="87" t="s">
        <v>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Q34" s="85"/>
      <c r="R34" s="85"/>
      <c r="S34" s="85"/>
      <c r="T34" s="85"/>
      <c r="U34" s="85"/>
      <c r="W34" s="89"/>
      <c r="X34" s="86"/>
      <c r="Y34" s="64" t="str">
        <f>B34</f>
        <v>Damen</v>
      </c>
      <c r="Z34" s="79"/>
      <c r="AC34" s="12"/>
      <c r="AD34" s="57"/>
    </row>
    <row r="35" spans="1:37" ht="12.75">
      <c r="A35" s="52">
        <v>1</v>
      </c>
      <c r="B35" s="14" t="str">
        <f>VLOOKUP($A35,'Eingabe Einzelspieler'!$L$2:$V$124,10,FALSE)</f>
        <v>Rahlfes, S</v>
      </c>
      <c r="C35" s="14" t="str">
        <f>VLOOKUP($A35,'Eingabe Einzelspieler'!$L$2:$V$124,11,FALSE)</f>
        <v>MGC "AS" Witten</v>
      </c>
      <c r="D35" s="34">
        <f>IF($B35="",0,VLOOKUP($B35,'Eingabe Einzelspieler'!$A$2:$P$124,D$1,FALSE))</f>
        <v>89</v>
      </c>
      <c r="E35" s="34">
        <f>IF($B35="",0,VLOOKUP($B35,'Eingabe Einzelspieler'!$A$2:$P$124,E$1,FALSE))</f>
        <v>103</v>
      </c>
      <c r="F35" s="34">
        <f>IF($B35="",0,VLOOKUP($B35,'Eingabe Einzelspieler'!$A$2:$P$124,F$1,FALSE))</f>
        <v>87</v>
      </c>
      <c r="G35" s="34">
        <f>IF($B35="",0,VLOOKUP($B35,'Eingabe Einzelspieler'!$A$2:$P$124,G$1,FALSE))</f>
        <v>97</v>
      </c>
      <c r="H35" s="34">
        <f>IF($B35="",0,VLOOKUP($B35,'Eingabe Einzelspieler'!$A$2:$P$124,H$1,FALSE))</f>
        <v>96</v>
      </c>
      <c r="I35" s="34">
        <f>IF($B35="",0,VLOOKUP($B35,'Eingabe Einzelspieler'!$A$2:$P$124,I$1,FALSE))</f>
        <v>97</v>
      </c>
      <c r="J35" s="10">
        <f aca="true" t="shared" si="26" ref="J35:J41">SUM(D35:I35)</f>
        <v>569</v>
      </c>
      <c r="K35" s="10">
        <f aca="true" t="shared" si="27" ref="K35:K41">COUNTIF(D35:I35,"&gt;0")</f>
        <v>6</v>
      </c>
      <c r="L35" s="10">
        <f>IF($B35="",0,VLOOKUP($B35,'Eingabe Einzelspieler'!$A$2:$P$124,L$1,FALSE))</f>
        <v>0</v>
      </c>
      <c r="M35" s="10">
        <f>IF(('Eingabe Einzelspieler'!$I$125-1)&gt;K35,1,"")</f>
      </c>
      <c r="N35" s="10">
        <f>IF('Eingabe Einzelspieler'!$I$125=1,0,IF(K35='Eingabe Einzelspieler'!$I$125,1,0))</f>
        <v>1</v>
      </c>
      <c r="O35" s="10">
        <f aca="true" t="shared" si="28" ref="O35:O41">IF(N35=1,LARGE(D35:I35,1),"")</f>
        <v>103</v>
      </c>
      <c r="P35" s="10">
        <f aca="true" t="shared" si="29" ref="P35:P41">IF(M35=1,"ADW",IF(N35=1,SUM(J35-O35),J35))</f>
        <v>466</v>
      </c>
      <c r="Q35" s="82">
        <f aca="true" t="shared" si="30" ref="Q35:Q41">IF(J35=0,0,IF(AND(K35=1,N35=1),J35/3,IF(M35=1,"",IF(N35=0,P35/K35/3,P35/(K35-N35)/3))))</f>
        <v>31.066666666666666</v>
      </c>
      <c r="R35" s="83">
        <f aca="true" t="shared" si="31" ref="R35:R41">IF(M35=1,100,RANK(P35,$P$35:$P$41,1))</f>
        <v>2</v>
      </c>
      <c r="S35" s="83">
        <f>COUNTIF(R$35:R35,R35)</f>
        <v>1</v>
      </c>
      <c r="T35" s="83">
        <f aca="true" t="shared" si="32" ref="T35:T41">R35+S35-1</f>
        <v>2</v>
      </c>
      <c r="U35" s="88">
        <f aca="true" t="shared" si="33" ref="U35:U41">IF(M35=1,2500+(T35/10000),P35+(T35/10000)+(L35/10))</f>
        <v>466.0002</v>
      </c>
      <c r="V35" s="34">
        <f aca="true" t="shared" si="34" ref="V35:V41">A35</f>
        <v>1</v>
      </c>
      <c r="W35" s="88">
        <f aca="true" t="shared" si="35" ref="W35:W41">SMALL(U$35:U$41,A35)</f>
        <v>462.0001</v>
      </c>
      <c r="X35" s="83">
        <f aca="true" t="shared" si="36" ref="X35:X41">VLOOKUP(W35,U$35:V$41,$X$1,FALSE)</f>
        <v>6</v>
      </c>
      <c r="Y35" s="12">
        <f aca="true" t="shared" si="37" ref="Y35:Y41">A35</f>
        <v>1</v>
      </c>
      <c r="Z35" s="50">
        <f aca="true" t="shared" si="38" ref="Z35:Z41">IF(VLOOKUP($X35,$A$35:$X$41,Z$1,FALSE)&gt;0,"x",0)</f>
        <v>0</v>
      </c>
      <c r="AA35" s="52" t="str">
        <f aca="true" t="shared" si="39" ref="AA35:AK41">VLOOKUP($X35,$A$35:$X$41,AA$1,FALSE)</f>
        <v>Dohmen, B</v>
      </c>
      <c r="AB35" s="52" t="str">
        <f t="shared" si="39"/>
        <v>BGC Uerdingen</v>
      </c>
      <c r="AC35" s="12">
        <f t="shared" si="39"/>
        <v>462</v>
      </c>
      <c r="AD35" s="55">
        <f t="shared" si="39"/>
      </c>
      <c r="AE35" s="56">
        <f t="shared" si="39"/>
        <v>30.8</v>
      </c>
      <c r="AF35" s="12">
        <f t="shared" si="39"/>
        <v>101</v>
      </c>
      <c r="AG35" s="12">
        <f t="shared" si="39"/>
        <v>85</v>
      </c>
      <c r="AH35" s="12">
        <f t="shared" si="39"/>
        <v>87</v>
      </c>
      <c r="AI35" s="12">
        <f t="shared" si="39"/>
        <v>93</v>
      </c>
      <c r="AJ35" s="12">
        <f t="shared" si="39"/>
        <v>0</v>
      </c>
      <c r="AK35" s="12">
        <f t="shared" si="39"/>
        <v>96</v>
      </c>
    </row>
    <row r="36" spans="1:37" ht="12.75">
      <c r="A36" s="52">
        <v>2</v>
      </c>
      <c r="B36" s="14" t="str">
        <f>VLOOKUP($A36,'Eingabe Einzelspieler'!$L$2:$V$124,10,FALSE)</f>
        <v>Freitag, A</v>
      </c>
      <c r="C36" s="14" t="str">
        <f>VLOOKUP($A36,'Eingabe Einzelspieler'!$L$2:$V$124,11,FALSE)</f>
        <v>1.MSC Wesel</v>
      </c>
      <c r="D36" s="34">
        <f>IF($B36="",0,VLOOKUP($B36,'Eingabe Einzelspieler'!$A$2:$P$124,D$1,FALSE))</f>
        <v>108</v>
      </c>
      <c r="E36" s="34">
        <f>IF($B36="",0,VLOOKUP($B36,'Eingabe Einzelspieler'!$A$2:$P$124,E$1,FALSE))</f>
        <v>0</v>
      </c>
      <c r="F36" s="34">
        <f>IF($B36="",0,VLOOKUP($B36,'Eingabe Einzelspieler'!$A$2:$P$124,F$1,FALSE))</f>
        <v>0</v>
      </c>
      <c r="G36" s="34">
        <f>IF($B36="",0,VLOOKUP($B36,'Eingabe Einzelspieler'!$A$2:$P$124,G$1,FALSE))</f>
        <v>105</v>
      </c>
      <c r="H36" s="34">
        <f>IF($B36="",0,VLOOKUP($B36,'Eingabe Einzelspieler'!$A$2:$P$124,H$1,FALSE))</f>
        <v>0</v>
      </c>
      <c r="I36" s="34">
        <f>IF($B36="",0,VLOOKUP($B36,'Eingabe Einzelspieler'!$A$2:$P$124,I$1,FALSE))</f>
        <v>0</v>
      </c>
      <c r="J36" s="10">
        <f t="shared" si="26"/>
        <v>213</v>
      </c>
      <c r="K36" s="10">
        <f t="shared" si="27"/>
        <v>2</v>
      </c>
      <c r="L36" s="10">
        <f>IF($B36="",0,VLOOKUP($B36,'Eingabe Einzelspieler'!$A$2:$P$124,L$1,FALSE))</f>
        <v>0</v>
      </c>
      <c r="M36" s="10">
        <f>IF(('Eingabe Einzelspieler'!$I$125-1)&gt;K36,1,"")</f>
        <v>1</v>
      </c>
      <c r="N36" s="10">
        <f>IF('Eingabe Einzelspieler'!$I$125=1,0,IF(K36='Eingabe Einzelspieler'!$I$125,1,0))</f>
        <v>0</v>
      </c>
      <c r="O36" s="10">
        <f t="shared" si="28"/>
      </c>
      <c r="P36" s="10" t="str">
        <f t="shared" si="29"/>
        <v>ADW</v>
      </c>
      <c r="Q36" s="82">
        <f t="shared" si="30"/>
      </c>
      <c r="R36" s="83">
        <f t="shared" si="31"/>
        <v>100</v>
      </c>
      <c r="S36" s="83">
        <f>COUNTIF(R$35:R36,R36)</f>
        <v>1</v>
      </c>
      <c r="T36" s="83">
        <f t="shared" si="32"/>
        <v>100</v>
      </c>
      <c r="U36" s="88">
        <f t="shared" si="33"/>
        <v>2500.01</v>
      </c>
      <c r="V36" s="34">
        <f t="shared" si="34"/>
        <v>2</v>
      </c>
      <c r="W36" s="88">
        <f t="shared" si="35"/>
        <v>466.0002</v>
      </c>
      <c r="X36" s="83">
        <f t="shared" si="36"/>
        <v>1</v>
      </c>
      <c r="Y36" s="12">
        <f t="shared" si="37"/>
        <v>2</v>
      </c>
      <c r="Z36" s="50">
        <f t="shared" si="38"/>
        <v>0</v>
      </c>
      <c r="AA36" s="101" t="str">
        <f t="shared" si="39"/>
        <v>Rahlfes, S</v>
      </c>
      <c r="AB36" s="101" t="str">
        <f t="shared" si="39"/>
        <v>MGC "AS" Witten</v>
      </c>
      <c r="AC36" s="102">
        <f t="shared" si="39"/>
        <v>466</v>
      </c>
      <c r="AD36" s="55">
        <f t="shared" si="39"/>
        <v>103</v>
      </c>
      <c r="AE36" s="56">
        <f t="shared" si="39"/>
        <v>31.066666666666666</v>
      </c>
      <c r="AF36" s="12">
        <f t="shared" si="39"/>
        <v>89</v>
      </c>
      <c r="AG36" s="12">
        <f t="shared" si="39"/>
        <v>103</v>
      </c>
      <c r="AH36" s="12">
        <f t="shared" si="39"/>
        <v>87</v>
      </c>
      <c r="AI36" s="12">
        <f t="shared" si="39"/>
        <v>97</v>
      </c>
      <c r="AJ36" s="12">
        <f t="shared" si="39"/>
        <v>96</v>
      </c>
      <c r="AK36" s="12">
        <f t="shared" si="39"/>
        <v>97</v>
      </c>
    </row>
    <row r="37" spans="1:37" ht="12.75">
      <c r="A37" s="52">
        <v>3</v>
      </c>
      <c r="B37" s="14" t="str">
        <f>VLOOKUP($A37,'Eingabe Einzelspieler'!$L$2:$V$124,10,FALSE)</f>
        <v>Verhufen, B</v>
      </c>
      <c r="C37" s="14" t="str">
        <f>VLOOKUP($A37,'Eingabe Einzelspieler'!$L$2:$V$124,11,FALSE)</f>
        <v>1.MSC Wesel</v>
      </c>
      <c r="D37" s="34">
        <f>IF($B37="",0,VLOOKUP($B37,'Eingabe Einzelspieler'!$A$2:$P$124,D$1,FALSE))</f>
        <v>101</v>
      </c>
      <c r="E37" s="34">
        <f>IF($B37="",0,VLOOKUP($B37,'Eingabe Einzelspieler'!$A$2:$P$124,E$1,FALSE))</f>
        <v>94</v>
      </c>
      <c r="F37" s="34">
        <f>IF($B37="",0,VLOOKUP($B37,'Eingabe Einzelspieler'!$A$2:$P$124,F$1,FALSE))</f>
        <v>92</v>
      </c>
      <c r="G37" s="34">
        <f>IF($B37="",0,VLOOKUP($B37,'Eingabe Einzelspieler'!$A$2:$P$124,G$1,FALSE))</f>
        <v>89</v>
      </c>
      <c r="H37" s="34">
        <f>IF($B37="",0,VLOOKUP($B37,'Eingabe Einzelspieler'!$A$2:$P$124,H$1,FALSE))</f>
        <v>102</v>
      </c>
      <c r="I37" s="34">
        <f>IF($B37="",0,VLOOKUP($B37,'Eingabe Einzelspieler'!$A$2:$P$124,I$1,FALSE))</f>
        <v>92</v>
      </c>
      <c r="J37" s="10">
        <f t="shared" si="26"/>
        <v>570</v>
      </c>
      <c r="K37" s="10">
        <f t="shared" si="27"/>
        <v>6</v>
      </c>
      <c r="L37" s="10">
        <f>IF($B37="",0,VLOOKUP($B37,'Eingabe Einzelspieler'!$A$2:$P$124,L$1,FALSE))</f>
        <v>0</v>
      </c>
      <c r="M37" s="10">
        <f>IF(('Eingabe Einzelspieler'!$I$125-1)&gt;K37,1,"")</f>
      </c>
      <c r="N37" s="10">
        <f>IF('Eingabe Einzelspieler'!$I$125=1,0,IF(K37='Eingabe Einzelspieler'!$I$125,1,0))</f>
        <v>1</v>
      </c>
      <c r="O37" s="10">
        <f t="shared" si="28"/>
        <v>102</v>
      </c>
      <c r="P37" s="10">
        <f t="shared" si="29"/>
        <v>468</v>
      </c>
      <c r="Q37" s="82">
        <f t="shared" si="30"/>
        <v>31.2</v>
      </c>
      <c r="R37" s="83">
        <f t="shared" si="31"/>
        <v>3</v>
      </c>
      <c r="S37" s="83">
        <f>COUNTIF(R$35:R37,R37)</f>
        <v>1</v>
      </c>
      <c r="T37" s="83">
        <f t="shared" si="32"/>
        <v>3</v>
      </c>
      <c r="U37" s="88">
        <f t="shared" si="33"/>
        <v>468.0003</v>
      </c>
      <c r="V37" s="34">
        <f t="shared" si="34"/>
        <v>3</v>
      </c>
      <c r="W37" s="88">
        <f t="shared" si="35"/>
        <v>468.0003</v>
      </c>
      <c r="X37" s="83">
        <f t="shared" si="36"/>
        <v>3</v>
      </c>
      <c r="Y37" s="12">
        <f t="shared" si="37"/>
        <v>3</v>
      </c>
      <c r="Z37" s="50">
        <f t="shared" si="38"/>
        <v>0</v>
      </c>
      <c r="AA37" s="52" t="str">
        <f t="shared" si="39"/>
        <v>Verhufen, B</v>
      </c>
      <c r="AB37" s="52" t="str">
        <f t="shared" si="39"/>
        <v>1.MSC Wesel</v>
      </c>
      <c r="AC37" s="12">
        <f t="shared" si="39"/>
        <v>468</v>
      </c>
      <c r="AD37" s="55">
        <f t="shared" si="39"/>
        <v>102</v>
      </c>
      <c r="AE37" s="56">
        <f t="shared" si="39"/>
        <v>31.2</v>
      </c>
      <c r="AF37" s="12">
        <f t="shared" si="39"/>
        <v>101</v>
      </c>
      <c r="AG37" s="12">
        <f t="shared" si="39"/>
        <v>94</v>
      </c>
      <c r="AH37" s="12">
        <f t="shared" si="39"/>
        <v>92</v>
      </c>
      <c r="AI37" s="12">
        <f t="shared" si="39"/>
        <v>89</v>
      </c>
      <c r="AJ37" s="12">
        <f t="shared" si="39"/>
        <v>102</v>
      </c>
      <c r="AK37" s="12">
        <f t="shared" si="39"/>
        <v>92</v>
      </c>
    </row>
    <row r="38" spans="1:37" ht="12.75">
      <c r="A38" s="52">
        <v>4</v>
      </c>
      <c r="B38" s="14" t="str">
        <f>VLOOKUP($A38,'Eingabe Einzelspieler'!$L$2:$V$124,10,FALSE)</f>
        <v>Meike, A</v>
      </c>
      <c r="C38" s="14" t="str">
        <f>VLOOKUP($A38,'Eingabe Einzelspieler'!$L$2:$V$124,11,FALSE)</f>
        <v>MGC Neviges</v>
      </c>
      <c r="D38" s="34">
        <f>IF($B38="",0,VLOOKUP($B38,'Eingabe Einzelspieler'!$A$2:$P$124,D$1,FALSE))</f>
        <v>98</v>
      </c>
      <c r="E38" s="34">
        <f>IF($B38="",0,VLOOKUP($B38,'Eingabe Einzelspieler'!$A$2:$P$124,E$1,FALSE))</f>
        <v>95</v>
      </c>
      <c r="F38" s="34">
        <f>IF($B38="",0,VLOOKUP($B38,'Eingabe Einzelspieler'!$A$2:$P$124,F$1,FALSE))</f>
        <v>98</v>
      </c>
      <c r="G38" s="34">
        <f>IF($B38="",0,VLOOKUP($B38,'Eingabe Einzelspieler'!$A$2:$P$124,G$1,FALSE))</f>
        <v>101</v>
      </c>
      <c r="H38" s="34">
        <f>IF($B38="",0,VLOOKUP($B38,'Eingabe Einzelspieler'!$A$2:$P$124,H$1,FALSE))</f>
        <v>95</v>
      </c>
      <c r="I38" s="34">
        <f>IF($B38="",0,VLOOKUP($B38,'Eingabe Einzelspieler'!$A$2:$P$124,I$1,FALSE))</f>
        <v>92</v>
      </c>
      <c r="J38" s="10">
        <f t="shared" si="26"/>
        <v>579</v>
      </c>
      <c r="K38" s="10">
        <f t="shared" si="27"/>
        <v>6</v>
      </c>
      <c r="L38" s="10">
        <f>IF($B38="",0,VLOOKUP($B38,'Eingabe Einzelspieler'!$A$2:$P$124,L$1,FALSE))</f>
        <v>0</v>
      </c>
      <c r="M38" s="10">
        <f>IF(('Eingabe Einzelspieler'!$I$125-1)&gt;K38,1,"")</f>
      </c>
      <c r="N38" s="10">
        <f>IF('Eingabe Einzelspieler'!$I$125=1,0,IF(K38='Eingabe Einzelspieler'!$I$125,1,0))</f>
        <v>1</v>
      </c>
      <c r="O38" s="10">
        <f t="shared" si="28"/>
        <v>101</v>
      </c>
      <c r="P38" s="10">
        <f t="shared" si="29"/>
        <v>478</v>
      </c>
      <c r="Q38" s="82">
        <f t="shared" si="30"/>
        <v>31.866666666666664</v>
      </c>
      <c r="R38" s="83">
        <f t="shared" si="31"/>
        <v>4</v>
      </c>
      <c r="S38" s="83">
        <f>COUNTIF(R$35:R38,R38)</f>
        <v>1</v>
      </c>
      <c r="T38" s="83">
        <f t="shared" si="32"/>
        <v>4</v>
      </c>
      <c r="U38" s="88">
        <f t="shared" si="33"/>
        <v>478.0004</v>
      </c>
      <c r="V38" s="34">
        <f t="shared" si="34"/>
        <v>4</v>
      </c>
      <c r="W38" s="88">
        <f t="shared" si="35"/>
        <v>478.0004</v>
      </c>
      <c r="X38" s="83">
        <f t="shared" si="36"/>
        <v>4</v>
      </c>
      <c r="Y38" s="12">
        <f t="shared" si="37"/>
        <v>4</v>
      </c>
      <c r="Z38" s="50">
        <f t="shared" si="38"/>
        <v>0</v>
      </c>
      <c r="AA38" s="52" t="str">
        <f t="shared" si="39"/>
        <v>Meike, A</v>
      </c>
      <c r="AB38" s="52" t="str">
        <f t="shared" si="39"/>
        <v>MGC Neviges</v>
      </c>
      <c r="AC38" s="12">
        <f t="shared" si="39"/>
        <v>478</v>
      </c>
      <c r="AD38" s="55">
        <f t="shared" si="39"/>
        <v>101</v>
      </c>
      <c r="AE38" s="56">
        <f t="shared" si="39"/>
        <v>31.866666666666664</v>
      </c>
      <c r="AF38" s="12">
        <f t="shared" si="39"/>
        <v>98</v>
      </c>
      <c r="AG38" s="12">
        <f t="shared" si="39"/>
        <v>95</v>
      </c>
      <c r="AH38" s="12">
        <f t="shared" si="39"/>
        <v>98</v>
      </c>
      <c r="AI38" s="12">
        <f t="shared" si="39"/>
        <v>101</v>
      </c>
      <c r="AJ38" s="12">
        <f t="shared" si="39"/>
        <v>95</v>
      </c>
      <c r="AK38" s="12">
        <f t="shared" si="39"/>
        <v>92</v>
      </c>
    </row>
    <row r="39" spans="1:37" ht="12.75">
      <c r="A39" s="52">
        <v>5</v>
      </c>
      <c r="B39" s="14" t="str">
        <f>VLOOKUP($A39,'Eingabe Einzelspieler'!$L$2:$V$124,10,FALSE)</f>
        <v>Rosemann, S</v>
      </c>
      <c r="C39" s="14" t="str">
        <f>VLOOKUP($A39,'Eingabe Einzelspieler'!$L$2:$V$124,11,FALSE)</f>
        <v>MGC Neviges</v>
      </c>
      <c r="D39" s="34">
        <f>IF($B39="",0,VLOOKUP($B39,'Eingabe Einzelspieler'!$A$2:$P$124,D$1,FALSE))</f>
        <v>114</v>
      </c>
      <c r="E39" s="34">
        <f>IF($B39="",0,VLOOKUP($B39,'Eingabe Einzelspieler'!$A$2:$P$124,E$1,FALSE))</f>
        <v>113</v>
      </c>
      <c r="F39" s="34">
        <f>IF($B39="",0,VLOOKUP($B39,'Eingabe Einzelspieler'!$A$2:$P$124,F$1,FALSE))</f>
        <v>108</v>
      </c>
      <c r="G39" s="34">
        <f>IF($B39="",0,VLOOKUP($B39,'Eingabe Einzelspieler'!$A$2:$P$124,G$1,FALSE))</f>
        <v>110</v>
      </c>
      <c r="H39" s="34">
        <f>IF($B39="",0,VLOOKUP($B39,'Eingabe Einzelspieler'!$A$2:$P$124,H$1,FALSE))</f>
        <v>106</v>
      </c>
      <c r="I39" s="34">
        <f>IF($B39="",0,VLOOKUP($B39,'Eingabe Einzelspieler'!$A$2:$P$124,I$1,FALSE))</f>
        <v>109</v>
      </c>
      <c r="J39" s="10">
        <f>SUM(D39:I39)</f>
        <v>660</v>
      </c>
      <c r="K39" s="10">
        <f>COUNTIF(D39:I39,"&gt;0")</f>
        <v>6</v>
      </c>
      <c r="L39" s="10">
        <f>IF($B39="",0,VLOOKUP($B39,'Eingabe Einzelspieler'!$A$2:$P$124,L$1,FALSE))</f>
        <v>0</v>
      </c>
      <c r="M39" s="10">
        <f>IF(('Eingabe Einzelspieler'!$I$125-1)&gt;K39,1,"")</f>
      </c>
      <c r="N39" s="10">
        <f>IF('Eingabe Einzelspieler'!$I$125=1,0,IF(K39='Eingabe Einzelspieler'!$I$125,1,0))</f>
        <v>1</v>
      </c>
      <c r="O39" s="10">
        <f>IF(N39=1,LARGE(D39:I39,1),"")</f>
        <v>114</v>
      </c>
      <c r="P39" s="10">
        <f>IF(M39=1,"ADW",IF(N39=1,SUM(J39-O39),J39))</f>
        <v>546</v>
      </c>
      <c r="Q39" s="82">
        <f>IF(J39=0,0,IF(AND(K39=1,N39=1),J39/3,IF(M39=1,"",IF(N39=0,P39/K39/3,P39/(K39-N39)/3))))</f>
        <v>36.4</v>
      </c>
      <c r="R39" s="83">
        <f>IF(M39=1,100,RANK(P39,$P$35:$P$41,1))</f>
        <v>6</v>
      </c>
      <c r="S39" s="83">
        <f>COUNTIF(R$35:R39,R39)</f>
        <v>1</v>
      </c>
      <c r="T39" s="83">
        <f>R39+S39-1</f>
        <v>6</v>
      </c>
      <c r="U39" s="88">
        <f>IF(M39=1,2500+(T39/10000),P39+(T39/10000)+(L39/10))</f>
        <v>546.0006</v>
      </c>
      <c r="V39" s="34">
        <f>A39</f>
        <v>5</v>
      </c>
      <c r="W39" s="88">
        <f>SMALL(U$35:U$41,A39)</f>
        <v>516.0005</v>
      </c>
      <c r="X39" s="83">
        <f>VLOOKUP(W39,U$35:V$41,$X$1,FALSE)</f>
        <v>7</v>
      </c>
      <c r="Y39" s="12">
        <f>A39</f>
        <v>5</v>
      </c>
      <c r="Z39" s="50">
        <f t="shared" si="38"/>
        <v>0</v>
      </c>
      <c r="AA39" s="52" t="str">
        <f t="shared" si="39"/>
        <v>Schmitt, R</v>
      </c>
      <c r="AB39" s="52" t="str">
        <f t="shared" si="39"/>
        <v>BGC Uerdingen</v>
      </c>
      <c r="AC39" s="12">
        <f t="shared" si="39"/>
        <v>516</v>
      </c>
      <c r="AD39" s="55">
        <f t="shared" si="39"/>
      </c>
      <c r="AE39" s="56">
        <f t="shared" si="39"/>
        <v>34.4</v>
      </c>
      <c r="AF39" s="12">
        <f t="shared" si="39"/>
        <v>0</v>
      </c>
      <c r="AG39" s="12">
        <f t="shared" si="39"/>
        <v>103</v>
      </c>
      <c r="AH39" s="12">
        <f t="shared" si="39"/>
        <v>92</v>
      </c>
      <c r="AI39" s="12">
        <f t="shared" si="39"/>
        <v>108</v>
      </c>
      <c r="AJ39" s="12">
        <f t="shared" si="39"/>
        <v>113</v>
      </c>
      <c r="AK39" s="12">
        <f t="shared" si="39"/>
        <v>100</v>
      </c>
    </row>
    <row r="40" spans="1:37" ht="12.75">
      <c r="A40" s="52">
        <v>6</v>
      </c>
      <c r="B40" s="14" t="str">
        <f>VLOOKUP($A40,'Eingabe Einzelspieler'!$L$2:$V$124,10,FALSE)</f>
        <v>Dohmen, B</v>
      </c>
      <c r="C40" s="14" t="str">
        <f>VLOOKUP($A40,'Eingabe Einzelspieler'!$L$2:$V$124,11,FALSE)</f>
        <v>BGC Uerdingen</v>
      </c>
      <c r="D40" s="34">
        <f>IF($B40="",0,VLOOKUP($B40,'Eingabe Einzelspieler'!$A$2:$P$124,D$1,FALSE))</f>
        <v>101</v>
      </c>
      <c r="E40" s="34">
        <f>IF($B40="",0,VLOOKUP($B40,'Eingabe Einzelspieler'!$A$2:$P$124,E$1,FALSE))</f>
        <v>85</v>
      </c>
      <c r="F40" s="34">
        <f>IF($B40="",0,VLOOKUP($B40,'Eingabe Einzelspieler'!$A$2:$P$124,F$1,FALSE))</f>
        <v>87</v>
      </c>
      <c r="G40" s="34">
        <f>IF($B40="",0,VLOOKUP($B40,'Eingabe Einzelspieler'!$A$2:$P$124,G$1,FALSE))</f>
        <v>93</v>
      </c>
      <c r="H40" s="34">
        <f>IF($B40="",0,VLOOKUP($B40,'Eingabe Einzelspieler'!$A$2:$P$124,H$1,FALSE))</f>
        <v>0</v>
      </c>
      <c r="I40" s="34">
        <f>IF($B40="",0,VLOOKUP($B40,'Eingabe Einzelspieler'!$A$2:$P$124,I$1,FALSE))</f>
        <v>96</v>
      </c>
      <c r="J40" s="10">
        <f t="shared" si="26"/>
        <v>462</v>
      </c>
      <c r="K40" s="10">
        <f t="shared" si="27"/>
        <v>5</v>
      </c>
      <c r="L40" s="10">
        <f>IF($B40="",0,VLOOKUP($B40,'Eingabe Einzelspieler'!$A$2:$P$124,L$1,FALSE))</f>
        <v>0</v>
      </c>
      <c r="M40" s="10">
        <f>IF(('Eingabe Einzelspieler'!$I$125-1)&gt;K40,1,"")</f>
      </c>
      <c r="N40" s="10">
        <f>IF('Eingabe Einzelspieler'!$I$125=1,0,IF(K40='Eingabe Einzelspieler'!$I$125,1,0))</f>
        <v>0</v>
      </c>
      <c r="O40" s="10">
        <f t="shared" si="28"/>
      </c>
      <c r="P40" s="10">
        <f t="shared" si="29"/>
        <v>462</v>
      </c>
      <c r="Q40" s="82">
        <f t="shared" si="30"/>
        <v>30.8</v>
      </c>
      <c r="R40" s="83">
        <f t="shared" si="31"/>
        <v>1</v>
      </c>
      <c r="S40" s="83">
        <f>COUNTIF(R$35:R40,R40)</f>
        <v>1</v>
      </c>
      <c r="T40" s="83">
        <f t="shared" si="32"/>
        <v>1</v>
      </c>
      <c r="U40" s="88">
        <f t="shared" si="33"/>
        <v>462.0001</v>
      </c>
      <c r="V40" s="34">
        <f t="shared" si="34"/>
        <v>6</v>
      </c>
      <c r="W40" s="88">
        <f t="shared" si="35"/>
        <v>546.0006</v>
      </c>
      <c r="X40" s="83">
        <f t="shared" si="36"/>
        <v>5</v>
      </c>
      <c r="Y40" s="12">
        <f t="shared" si="37"/>
        <v>6</v>
      </c>
      <c r="Z40" s="50">
        <f t="shared" si="38"/>
        <v>0</v>
      </c>
      <c r="AA40" s="52" t="str">
        <f t="shared" si="39"/>
        <v>Rosemann, S</v>
      </c>
      <c r="AB40" s="52" t="str">
        <f t="shared" si="39"/>
        <v>MGC Neviges</v>
      </c>
      <c r="AC40" s="12">
        <f t="shared" si="39"/>
        <v>546</v>
      </c>
      <c r="AD40" s="55">
        <f t="shared" si="39"/>
        <v>114</v>
      </c>
      <c r="AE40" s="56">
        <f t="shared" si="39"/>
        <v>36.4</v>
      </c>
      <c r="AF40" s="12">
        <f t="shared" si="39"/>
        <v>114</v>
      </c>
      <c r="AG40" s="12">
        <f t="shared" si="39"/>
        <v>113</v>
      </c>
      <c r="AH40" s="12">
        <f t="shared" si="39"/>
        <v>108</v>
      </c>
      <c r="AI40" s="12">
        <f t="shared" si="39"/>
        <v>110</v>
      </c>
      <c r="AJ40" s="12">
        <f t="shared" si="39"/>
        <v>106</v>
      </c>
      <c r="AK40" s="12">
        <f t="shared" si="39"/>
        <v>109</v>
      </c>
    </row>
    <row r="41" spans="1:37" ht="12.75" hidden="1">
      <c r="A41" s="52">
        <v>7</v>
      </c>
      <c r="B41" s="14" t="str">
        <f>VLOOKUP($A41,'Eingabe Einzelspieler'!$L$2:$V$124,10,FALSE)</f>
        <v>Schmitt, R</v>
      </c>
      <c r="C41" s="14" t="str">
        <f>VLOOKUP($A41,'Eingabe Einzelspieler'!$L$2:$V$124,11,FALSE)</f>
        <v>BGC Uerdingen</v>
      </c>
      <c r="D41" s="34">
        <f>IF($B41="",0,VLOOKUP($B41,'Eingabe Einzelspieler'!$A$2:$P$124,D$1,FALSE))</f>
        <v>0</v>
      </c>
      <c r="E41" s="34">
        <f>IF($B41="",0,VLOOKUP($B41,'Eingabe Einzelspieler'!$A$2:$P$124,E$1,FALSE))</f>
        <v>103</v>
      </c>
      <c r="F41" s="34">
        <f>IF($B41="",0,VLOOKUP($B41,'Eingabe Einzelspieler'!$A$2:$P$124,F$1,FALSE))</f>
        <v>92</v>
      </c>
      <c r="G41" s="34">
        <f>IF($B41="",0,VLOOKUP($B41,'Eingabe Einzelspieler'!$A$2:$P$124,G$1,FALSE))</f>
        <v>108</v>
      </c>
      <c r="H41" s="34">
        <f>IF($B41="",0,VLOOKUP($B41,'Eingabe Einzelspieler'!$A$2:$P$124,H$1,FALSE))</f>
        <v>113</v>
      </c>
      <c r="I41" s="34">
        <f>IF($B41="",0,VLOOKUP($B41,'Eingabe Einzelspieler'!$A$2:$P$124,I$1,FALSE))</f>
        <v>100</v>
      </c>
      <c r="J41" s="10">
        <f t="shared" si="26"/>
        <v>516</v>
      </c>
      <c r="K41" s="10">
        <f t="shared" si="27"/>
        <v>5</v>
      </c>
      <c r="L41" s="10">
        <f>IF($B41="",0,VLOOKUP($B41,'Eingabe Einzelspieler'!$A$2:$P$124,L$1,FALSE))</f>
        <v>0</v>
      </c>
      <c r="M41" s="10">
        <f>IF(('Eingabe Einzelspieler'!$I$125-1)&gt;K41,1,"")</f>
      </c>
      <c r="N41" s="10">
        <f>IF('Eingabe Einzelspieler'!$I$125=1,0,IF(K41='Eingabe Einzelspieler'!$I$125,1,0))</f>
        <v>0</v>
      </c>
      <c r="O41" s="10">
        <f t="shared" si="28"/>
      </c>
      <c r="P41" s="10">
        <f t="shared" si="29"/>
        <v>516</v>
      </c>
      <c r="Q41" s="82">
        <f t="shared" si="30"/>
        <v>34.4</v>
      </c>
      <c r="R41" s="83">
        <f t="shared" si="31"/>
        <v>5</v>
      </c>
      <c r="S41" s="83">
        <f>COUNTIF(R$35:R41,R41)</f>
        <v>1</v>
      </c>
      <c r="T41" s="83">
        <f t="shared" si="32"/>
        <v>5</v>
      </c>
      <c r="U41" s="88">
        <f t="shared" si="33"/>
        <v>516.0005</v>
      </c>
      <c r="V41" s="34">
        <f t="shared" si="34"/>
        <v>7</v>
      </c>
      <c r="W41" s="88">
        <f t="shared" si="35"/>
        <v>2500.01</v>
      </c>
      <c r="X41" s="83">
        <f t="shared" si="36"/>
        <v>2</v>
      </c>
      <c r="Y41" s="12">
        <f t="shared" si="37"/>
        <v>7</v>
      </c>
      <c r="Z41" s="50">
        <f t="shared" si="38"/>
        <v>0</v>
      </c>
      <c r="AA41" s="52" t="str">
        <f t="shared" si="39"/>
        <v>Freitag, A</v>
      </c>
      <c r="AB41" s="52" t="str">
        <f t="shared" si="39"/>
        <v>1.MSC Wesel</v>
      </c>
      <c r="AC41" s="12" t="str">
        <f t="shared" si="39"/>
        <v>ADW</v>
      </c>
      <c r="AD41" s="55">
        <f t="shared" si="39"/>
      </c>
      <c r="AE41" s="56">
        <f t="shared" si="39"/>
      </c>
      <c r="AF41" s="12">
        <f t="shared" si="39"/>
        <v>108</v>
      </c>
      <c r="AG41" s="12">
        <f t="shared" si="39"/>
        <v>0</v>
      </c>
      <c r="AH41" s="12">
        <f t="shared" si="39"/>
        <v>0</v>
      </c>
      <c r="AI41" s="12">
        <f t="shared" si="39"/>
        <v>105</v>
      </c>
      <c r="AJ41" s="12">
        <f t="shared" si="39"/>
        <v>0</v>
      </c>
      <c r="AK41" s="12">
        <f t="shared" si="39"/>
        <v>0</v>
      </c>
    </row>
    <row r="42" spans="4:23" ht="12.7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Q42" s="85"/>
      <c r="R42" s="85"/>
      <c r="S42" s="85"/>
      <c r="T42" s="85"/>
      <c r="U42" s="85"/>
      <c r="W42" s="89"/>
    </row>
    <row r="43" spans="2:30" ht="12.75">
      <c r="B43" s="87" t="s">
        <v>39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Q43" s="85"/>
      <c r="R43" s="85"/>
      <c r="S43" s="85"/>
      <c r="T43" s="85"/>
      <c r="U43" s="85"/>
      <c r="W43" s="89"/>
      <c r="X43" s="86"/>
      <c r="Y43" s="64" t="str">
        <f>B43</f>
        <v>Senioren männlich I</v>
      </c>
      <c r="Z43" s="79"/>
      <c r="AC43" s="12"/>
      <c r="AD43" s="57"/>
    </row>
    <row r="44" spans="1:37" ht="12.75">
      <c r="A44" s="52">
        <v>1</v>
      </c>
      <c r="B44" s="14" t="str">
        <f>VLOOKUP($A44,'Eingabe Einzelspieler'!$M$2:$V$124,9,FALSE)</f>
        <v>Endberg, W</v>
      </c>
      <c r="C44" s="14" t="str">
        <f>VLOOKUP($A44,'Eingabe Einzelspieler'!$M$2:$V$124,10,FALSE)</f>
        <v>MGC "AS" Witten</v>
      </c>
      <c r="D44" s="34">
        <f>IF($B44="",0,VLOOKUP($B44,'Eingabe Einzelspieler'!$A$2:$P$124,D$1,FALSE))</f>
        <v>0</v>
      </c>
      <c r="E44" s="34">
        <f>IF($B44="",0,VLOOKUP($B44,'Eingabe Einzelspieler'!$A$2:$P$124,E$1,FALSE))</f>
        <v>94</v>
      </c>
      <c r="F44" s="34">
        <f>IF($B44="",0,VLOOKUP($B44,'Eingabe Einzelspieler'!$A$2:$P$124,F$1,FALSE))</f>
        <v>100</v>
      </c>
      <c r="G44" s="34">
        <f>IF($B44="",0,VLOOKUP($B44,'Eingabe Einzelspieler'!$A$2:$P$124,G$1,FALSE))</f>
        <v>88</v>
      </c>
      <c r="H44" s="34">
        <f>IF($B44="",0,VLOOKUP($B44,'Eingabe Einzelspieler'!$A$2:$P$124,H$1,FALSE))</f>
        <v>109</v>
      </c>
      <c r="I44" s="34">
        <f>IF($B44="",0,VLOOKUP($B44,'Eingabe Einzelspieler'!$A$2:$P$124,I$1,FALSE))</f>
        <v>98</v>
      </c>
      <c r="J44" s="10">
        <f>SUM(D44:I44)</f>
        <v>489</v>
      </c>
      <c r="K44" s="10">
        <f>COUNTIF(D44:I44,"&gt;0")</f>
        <v>5</v>
      </c>
      <c r="L44" s="10">
        <f>IF($B44="",0,VLOOKUP($B44,'Eingabe Einzelspieler'!$A$2:$P$124,L$1,FALSE))</f>
        <v>0</v>
      </c>
      <c r="M44" s="10">
        <f>IF(('Eingabe Einzelspieler'!$I$125-1)&gt;K44,1,"")</f>
      </c>
      <c r="N44" s="10">
        <f>IF('Eingabe Einzelspieler'!$I$125=1,0,IF(K44='Eingabe Einzelspieler'!$I$125,1,0))</f>
        <v>0</v>
      </c>
      <c r="O44" s="10">
        <f>IF(N44=1,LARGE(D44:I44,1),"")</f>
      </c>
      <c r="P44" s="10">
        <f>IF(M44=1,"ADW",IF(N44=1,SUM(J44-O44),J44))</f>
        <v>489</v>
      </c>
      <c r="Q44" s="82">
        <f>IF(J44=0,0,IF(AND(K44=1,N44=1),J44/3,IF(M44=1,"",IF(N44=0,P44/K44/3,P44/(K44-N44)/3))))</f>
        <v>32.6</v>
      </c>
      <c r="R44" s="83">
        <f>IF(M44=1,100,RANK(P44,$P$44:$P$65,1))</f>
        <v>9</v>
      </c>
      <c r="S44" s="83">
        <f>COUNTIF(R$44:R44,R44)</f>
        <v>1</v>
      </c>
      <c r="T44" s="83">
        <f>R44+S44-1</f>
        <v>9</v>
      </c>
      <c r="U44" s="88">
        <f>IF(M44=1,2500+(T44/10000),P44+(T44/10000)+(L44/10))</f>
        <v>489.0009</v>
      </c>
      <c r="V44" s="34">
        <f>A44</f>
        <v>1</v>
      </c>
      <c r="W44" s="88">
        <f>SMALL(U$44:U$65,A44)</f>
        <v>445.0001</v>
      </c>
      <c r="X44" s="83">
        <f aca="true" t="shared" si="40" ref="X44:X65">VLOOKUP(W44,U$44:V$65,$X$1,FALSE)</f>
        <v>10</v>
      </c>
      <c r="Y44" s="12">
        <f>A44</f>
        <v>1</v>
      </c>
      <c r="Z44" s="50">
        <f aca="true" t="shared" si="41" ref="Z44:Z65">IF(VLOOKUP($X44,$A$44:$X$65,Z$1,FALSE)&gt;0,"x",0)</f>
        <v>0</v>
      </c>
      <c r="AA44" s="52" t="str">
        <f aca="true" t="shared" si="42" ref="AA44:AK58">VLOOKUP($X44,$A$44:$X$65,AA$1,FALSE)</f>
        <v>Schilling, A</v>
      </c>
      <c r="AB44" s="52" t="str">
        <f t="shared" si="42"/>
        <v>1.MSC Wesel</v>
      </c>
      <c r="AC44" s="12">
        <f t="shared" si="42"/>
        <v>445</v>
      </c>
      <c r="AD44" s="55">
        <f t="shared" si="42"/>
        <v>93</v>
      </c>
      <c r="AE44" s="56">
        <f t="shared" si="42"/>
        <v>29.666666666666668</v>
      </c>
      <c r="AF44" s="12">
        <f t="shared" si="42"/>
        <v>90</v>
      </c>
      <c r="AG44" s="12">
        <f t="shared" si="42"/>
        <v>93</v>
      </c>
      <c r="AH44" s="12">
        <f t="shared" si="42"/>
        <v>89</v>
      </c>
      <c r="AI44" s="12">
        <f t="shared" si="42"/>
        <v>88</v>
      </c>
      <c r="AJ44" s="12">
        <f t="shared" si="42"/>
        <v>90</v>
      </c>
      <c r="AK44" s="12">
        <f t="shared" si="42"/>
        <v>88</v>
      </c>
    </row>
    <row r="45" spans="1:37" ht="12.75">
      <c r="A45" s="52">
        <v>2</v>
      </c>
      <c r="B45" s="14" t="str">
        <f>VLOOKUP($A45,'Eingabe Einzelspieler'!$M$2:$V$124,9,FALSE)</f>
        <v>Lüttenberg, W</v>
      </c>
      <c r="C45" s="14" t="str">
        <f>VLOOKUP($A45,'Eingabe Einzelspieler'!$M$2:$V$124,10,FALSE)</f>
        <v>MGC "AS" Witten</v>
      </c>
      <c r="D45" s="34">
        <f>IF($B45="",0,VLOOKUP($B45,'Eingabe Einzelspieler'!$A$2:$P$124,D$1,FALSE))</f>
        <v>90</v>
      </c>
      <c r="E45" s="34">
        <f>IF($B45="",0,VLOOKUP($B45,'Eingabe Einzelspieler'!$A$2:$P$124,E$1,FALSE))</f>
        <v>91</v>
      </c>
      <c r="F45" s="34">
        <f>IF($B45="",0,VLOOKUP($B45,'Eingabe Einzelspieler'!$A$2:$P$124,F$1,FALSE))</f>
        <v>88</v>
      </c>
      <c r="G45" s="34">
        <f>IF($B45="",0,VLOOKUP($B45,'Eingabe Einzelspieler'!$A$2:$P$124,G$1,FALSE))</f>
        <v>92</v>
      </c>
      <c r="H45" s="34">
        <f>IF($B45="",0,VLOOKUP($B45,'Eingabe Einzelspieler'!$A$2:$P$124,H$1,FALSE))</f>
        <v>92</v>
      </c>
      <c r="I45" s="34">
        <f>IF($B45="",0,VLOOKUP($B45,'Eingabe Einzelspieler'!$A$2:$P$124,I$1,FALSE))</f>
        <v>86</v>
      </c>
      <c r="J45" s="10">
        <f>SUM(D45:I45)</f>
        <v>539</v>
      </c>
      <c r="K45" s="10">
        <f>COUNTIF(D45:I45,"&gt;0")</f>
        <v>6</v>
      </c>
      <c r="L45" s="10">
        <f>IF($B45="",0,VLOOKUP($B45,'Eingabe Einzelspieler'!$A$2:$P$124,L$1,FALSE))</f>
        <v>0</v>
      </c>
      <c r="M45" s="10">
        <f>IF(('Eingabe Einzelspieler'!$I$125-1)&gt;K45,1,"")</f>
      </c>
      <c r="N45" s="10">
        <f>IF('Eingabe Einzelspieler'!$I$125=1,0,IF(K45='Eingabe Einzelspieler'!$I$125,1,0))</f>
        <v>1</v>
      </c>
      <c r="O45" s="10">
        <f>IF(N45=1,LARGE(D45:I45,1),"")</f>
        <v>92</v>
      </c>
      <c r="P45" s="10">
        <f>IF(M45=1,"ADW",IF(N45=1,SUM(J45-O45),J45))</f>
        <v>447</v>
      </c>
      <c r="Q45" s="82">
        <f>IF(J45=0,0,IF(AND(K45=1,N45=1),J45/3,IF(M45=1,"",IF(N45=0,P45/K45/3,P45/(K45-N45)/3))))</f>
        <v>29.8</v>
      </c>
      <c r="R45" s="83">
        <f>IF(M45=1,100,RANK(P45,$P$44:$P$65,1))</f>
        <v>2</v>
      </c>
      <c r="S45" s="83">
        <f>COUNTIF(R$44:R45,R45)</f>
        <v>1</v>
      </c>
      <c r="T45" s="83">
        <f>R45+S45-1</f>
        <v>2</v>
      </c>
      <c r="U45" s="88">
        <f>IF(M45=1,2500+(T45/10000),P45+(T45/10000)+(L45/10))</f>
        <v>447.0002</v>
      </c>
      <c r="V45" s="34">
        <f>A45</f>
        <v>2</v>
      </c>
      <c r="W45" s="88">
        <f>SMALL(U$44:U$65,A45)</f>
        <v>447.0002</v>
      </c>
      <c r="X45" s="83">
        <f t="shared" si="40"/>
        <v>2</v>
      </c>
      <c r="Y45" s="12">
        <f>A45</f>
        <v>2</v>
      </c>
      <c r="Z45" s="50">
        <f t="shared" si="41"/>
        <v>0</v>
      </c>
      <c r="AA45" s="101" t="str">
        <f t="shared" si="42"/>
        <v>Lüttenberg, W</v>
      </c>
      <c r="AB45" s="101" t="str">
        <f t="shared" si="42"/>
        <v>MGC "AS" Witten</v>
      </c>
      <c r="AC45" s="102">
        <f t="shared" si="42"/>
        <v>447</v>
      </c>
      <c r="AD45" s="55">
        <f t="shared" si="42"/>
        <v>92</v>
      </c>
      <c r="AE45" s="56">
        <f t="shared" si="42"/>
        <v>29.8</v>
      </c>
      <c r="AF45" s="12">
        <f t="shared" si="42"/>
        <v>90</v>
      </c>
      <c r="AG45" s="12">
        <f t="shared" si="42"/>
        <v>91</v>
      </c>
      <c r="AH45" s="12">
        <f t="shared" si="42"/>
        <v>88</v>
      </c>
      <c r="AI45" s="12">
        <f t="shared" si="42"/>
        <v>92</v>
      </c>
      <c r="AJ45" s="12">
        <f t="shared" si="42"/>
        <v>92</v>
      </c>
      <c r="AK45" s="12">
        <f t="shared" si="42"/>
        <v>86</v>
      </c>
    </row>
    <row r="46" spans="1:37" ht="12.75">
      <c r="A46" s="52">
        <v>3</v>
      </c>
      <c r="B46" s="14" t="str">
        <f>VLOOKUP($A46,'Eingabe Einzelspieler'!$M$2:$V$124,9,FALSE)</f>
        <v>Dudziak, H</v>
      </c>
      <c r="C46" s="14" t="str">
        <f>VLOOKUP($A46,'Eingabe Einzelspieler'!$M$2:$V$124,10,FALSE)</f>
        <v>1.MGC Gelsenkirchen</v>
      </c>
      <c r="D46" s="34">
        <f>IF($B46="",0,VLOOKUP($B46,'Eingabe Einzelspieler'!$A$2:$P$124,D$1,FALSE))</f>
        <v>110</v>
      </c>
      <c r="E46" s="34">
        <f>IF($B46="",0,VLOOKUP($B46,'Eingabe Einzelspieler'!$A$2:$P$124,E$1,FALSE))</f>
        <v>110</v>
      </c>
      <c r="F46" s="34">
        <f>IF($B46="",0,VLOOKUP($B46,'Eingabe Einzelspieler'!$A$2:$P$124,F$1,FALSE))</f>
        <v>103</v>
      </c>
      <c r="G46" s="34">
        <f>IF($B46="",0,VLOOKUP($B46,'Eingabe Einzelspieler'!$A$2:$P$124,G$1,FALSE))</f>
        <v>100</v>
      </c>
      <c r="H46" s="34">
        <f>IF($B46="",0,VLOOKUP($B46,'Eingabe Einzelspieler'!$A$2:$P$124,H$1,FALSE))</f>
        <v>104</v>
      </c>
      <c r="I46" s="34">
        <f>IF($B46="",0,VLOOKUP($B46,'Eingabe Einzelspieler'!$A$2:$P$124,I$1,FALSE))</f>
        <v>101</v>
      </c>
      <c r="J46" s="10">
        <f>SUM(D46:I46)</f>
        <v>628</v>
      </c>
      <c r="K46" s="10">
        <f>COUNTIF(D46:I46,"&gt;0")</f>
        <v>6</v>
      </c>
      <c r="L46" s="10">
        <f>IF($B46="",0,VLOOKUP($B46,'Eingabe Einzelspieler'!$A$2:$P$124,L$1,FALSE))</f>
        <v>0</v>
      </c>
      <c r="M46" s="10">
        <f>IF(('Eingabe Einzelspieler'!$I$125-1)&gt;K46,1,"")</f>
      </c>
      <c r="N46" s="10">
        <f>IF('Eingabe Einzelspieler'!$I$125=1,0,IF(K46='Eingabe Einzelspieler'!$I$125,1,0))</f>
        <v>1</v>
      </c>
      <c r="O46" s="10">
        <f>IF(N46=1,LARGE(D46:I46,1),"")</f>
        <v>110</v>
      </c>
      <c r="P46" s="10">
        <f>IF(M46=1,"ADW",IF(N46=1,SUM(J46-O46),J46))</f>
        <v>518</v>
      </c>
      <c r="Q46" s="82">
        <f>IF(J46=0,0,IF(AND(K46=1,N46=1),J46/3,IF(M46=1,"",IF(N46=0,P46/K46/3,P46/(K46-N46)/3))))</f>
        <v>34.53333333333333</v>
      </c>
      <c r="R46" s="83">
        <f>IF(M46=1,100,RANK(P46,$P$44:$P$65,1))</f>
        <v>16</v>
      </c>
      <c r="S46" s="83">
        <f>COUNTIF(R$44:R46,R46)</f>
        <v>1</v>
      </c>
      <c r="T46" s="83">
        <f>R46+S46-1</f>
        <v>16</v>
      </c>
      <c r="U46" s="88">
        <f>IF(M46=1,2500+(T46/10000),P46+(T46/10000)+(L46/10))</f>
        <v>518.0016</v>
      </c>
      <c r="V46" s="34">
        <f>A46</f>
        <v>3</v>
      </c>
      <c r="W46" s="88">
        <f>SMALL(U$44:U$65,A46)</f>
        <v>459.0003</v>
      </c>
      <c r="X46" s="83">
        <f t="shared" si="40"/>
        <v>12</v>
      </c>
      <c r="Y46" s="12">
        <f>A46</f>
        <v>3</v>
      </c>
      <c r="Z46" s="50">
        <f t="shared" si="41"/>
        <v>0</v>
      </c>
      <c r="AA46" s="52" t="str">
        <f t="shared" si="42"/>
        <v>Herkenrath, H</v>
      </c>
      <c r="AB46" s="52" t="str">
        <f t="shared" si="42"/>
        <v>MGC Neviges</v>
      </c>
      <c r="AC46" s="12">
        <f t="shared" si="42"/>
        <v>459</v>
      </c>
      <c r="AD46" s="55">
        <f t="shared" si="42"/>
        <v>98</v>
      </c>
      <c r="AE46" s="56">
        <f t="shared" si="42"/>
        <v>30.599999999999998</v>
      </c>
      <c r="AF46" s="12">
        <f t="shared" si="42"/>
        <v>92</v>
      </c>
      <c r="AG46" s="12">
        <f t="shared" si="42"/>
        <v>93</v>
      </c>
      <c r="AH46" s="12">
        <f t="shared" si="42"/>
        <v>98</v>
      </c>
      <c r="AI46" s="12">
        <f t="shared" si="42"/>
        <v>90</v>
      </c>
      <c r="AJ46" s="12">
        <f t="shared" si="42"/>
        <v>91</v>
      </c>
      <c r="AK46" s="12">
        <f t="shared" si="42"/>
        <v>93</v>
      </c>
    </row>
    <row r="47" spans="1:37" ht="12.75">
      <c r="A47" s="52">
        <v>4</v>
      </c>
      <c r="B47" s="14" t="str">
        <f>VLOOKUP($A47,'Eingabe Einzelspieler'!$M$2:$V$124,9,FALSE)</f>
        <v>Bever, H</v>
      </c>
      <c r="C47" s="14" t="str">
        <f>VLOOKUP($A47,'Eingabe Einzelspieler'!$M$2:$V$124,10,FALSE)</f>
        <v>1.MSC Wesel</v>
      </c>
      <c r="D47" s="34">
        <f>IF($B47="",0,VLOOKUP($B47,'Eingabe Einzelspieler'!$A$2:$P$124,D$1,FALSE))</f>
        <v>93</v>
      </c>
      <c r="E47" s="34">
        <f>IF($B47="",0,VLOOKUP($B47,'Eingabe Einzelspieler'!$A$2:$P$124,E$1,FALSE))</f>
        <v>93</v>
      </c>
      <c r="F47" s="34">
        <f>IF($B47="",0,VLOOKUP($B47,'Eingabe Einzelspieler'!$A$2:$P$124,F$1,FALSE))</f>
        <v>96</v>
      </c>
      <c r="G47" s="34">
        <f>IF($B47="",0,VLOOKUP($B47,'Eingabe Einzelspieler'!$A$2:$P$124,G$1,FALSE))</f>
        <v>93</v>
      </c>
      <c r="H47" s="34">
        <f>IF($B47="",0,VLOOKUP($B47,'Eingabe Einzelspieler'!$A$2:$P$124,H$1,FALSE))</f>
        <v>96</v>
      </c>
      <c r="I47" s="34">
        <f>IF($B47="",0,VLOOKUP($B47,'Eingabe Einzelspieler'!$A$2:$P$124,I$1,FALSE))</f>
        <v>90</v>
      </c>
      <c r="J47" s="10">
        <f>SUM(D47:I47)</f>
        <v>561</v>
      </c>
      <c r="K47" s="10">
        <f>COUNTIF(D47:I47,"&gt;0")</f>
        <v>6</v>
      </c>
      <c r="L47" s="10">
        <f>IF($B47="",0,VLOOKUP($B47,'Eingabe Einzelspieler'!$A$2:$P$124,L$1,FALSE))</f>
        <v>0</v>
      </c>
      <c r="M47" s="10">
        <f>IF(('Eingabe Einzelspieler'!$I$125-1)&gt;K47,1,"")</f>
      </c>
      <c r="N47" s="10">
        <f>IF('Eingabe Einzelspieler'!$I$125=1,0,IF(K47='Eingabe Einzelspieler'!$I$125,1,0))</f>
        <v>1</v>
      </c>
      <c r="O47" s="10">
        <f>IF(N47=1,LARGE(D47:I47,1),"")</f>
        <v>96</v>
      </c>
      <c r="P47" s="10">
        <f>IF(M47=1,"ADW",IF(N47=1,SUM(J47-O47),J47))</f>
        <v>465</v>
      </c>
      <c r="Q47" s="82">
        <f>IF(J47=0,0,IF(AND(K47=1,N47=1),J47/3,IF(M47=1,"",IF(N47=0,P47/K47/3,P47/(K47-N47)/3))))</f>
        <v>31</v>
      </c>
      <c r="R47" s="83">
        <f>IF(M47=1,100,RANK(P47,$P$44:$P$65,1))</f>
        <v>4</v>
      </c>
      <c r="S47" s="83">
        <f>COUNTIF(R$44:R47,R47)</f>
        <v>1</v>
      </c>
      <c r="T47" s="83">
        <f>R47+S47-1</f>
        <v>4</v>
      </c>
      <c r="U47" s="88">
        <f>IF(M47=1,2500+(T47/10000),P47+(T47/10000)+(L47/10))</f>
        <v>465.0004</v>
      </c>
      <c r="V47" s="34">
        <f>A47</f>
        <v>4</v>
      </c>
      <c r="W47" s="88">
        <f>SMALL(U$44:U$65,A47)</f>
        <v>465.0004</v>
      </c>
      <c r="X47" s="83">
        <f t="shared" si="40"/>
        <v>4</v>
      </c>
      <c r="Y47" s="12">
        <f>A47</f>
        <v>4</v>
      </c>
      <c r="Z47" s="50">
        <f t="shared" si="41"/>
        <v>0</v>
      </c>
      <c r="AA47" s="52" t="str">
        <f t="shared" si="42"/>
        <v>Bever, H</v>
      </c>
      <c r="AB47" s="52" t="str">
        <f t="shared" si="42"/>
        <v>1.MSC Wesel</v>
      </c>
      <c r="AC47" s="12">
        <f t="shared" si="42"/>
        <v>465</v>
      </c>
      <c r="AD47" s="55">
        <f t="shared" si="42"/>
        <v>96</v>
      </c>
      <c r="AE47" s="56">
        <f t="shared" si="42"/>
        <v>31</v>
      </c>
      <c r="AF47" s="12">
        <f t="shared" si="42"/>
        <v>93</v>
      </c>
      <c r="AG47" s="12">
        <f t="shared" si="42"/>
        <v>93</v>
      </c>
      <c r="AH47" s="12">
        <f t="shared" si="42"/>
        <v>96</v>
      </c>
      <c r="AI47" s="12">
        <f t="shared" si="42"/>
        <v>93</v>
      </c>
      <c r="AJ47" s="12">
        <f t="shared" si="42"/>
        <v>96</v>
      </c>
      <c r="AK47" s="12">
        <f t="shared" si="42"/>
        <v>90</v>
      </c>
    </row>
    <row r="48" spans="1:37" ht="12.75">
      <c r="A48" s="52">
        <v>5</v>
      </c>
      <c r="B48" s="14" t="str">
        <f>VLOOKUP($A48,'Eingabe Einzelspieler'!$M$2:$V$124,9,FALSE)</f>
        <v>Bork, G</v>
      </c>
      <c r="C48" s="14" t="str">
        <f>VLOOKUP($A48,'Eingabe Einzelspieler'!$M$2:$V$124,10,FALSE)</f>
        <v>1.MSC Wesel</v>
      </c>
      <c r="D48" s="34">
        <f>IF($B48="",0,VLOOKUP($B48,'Eingabe Einzelspieler'!$A$2:$P$124,D$1,FALSE))</f>
        <v>101</v>
      </c>
      <c r="E48" s="34">
        <f>IF($B48="",0,VLOOKUP($B48,'Eingabe Einzelspieler'!$A$2:$P$124,E$1,FALSE))</f>
        <v>115</v>
      </c>
      <c r="F48" s="34">
        <f>IF($B48="",0,VLOOKUP($B48,'Eingabe Einzelspieler'!$A$2:$P$124,F$1,FALSE))</f>
        <v>97</v>
      </c>
      <c r="G48" s="34">
        <f>IF($B48="",0,VLOOKUP($B48,'Eingabe Einzelspieler'!$A$2:$P$124,G$1,FALSE))</f>
        <v>96</v>
      </c>
      <c r="H48" s="34">
        <f>IF($B48="",0,VLOOKUP($B48,'Eingabe Einzelspieler'!$A$2:$P$124,H$1,FALSE))</f>
        <v>98</v>
      </c>
      <c r="I48" s="34">
        <f>IF($B48="",0,VLOOKUP($B48,'Eingabe Einzelspieler'!$A$2:$P$124,I$1,FALSE))</f>
        <v>107</v>
      </c>
      <c r="J48" s="10">
        <f aca="true" t="shared" si="43" ref="J48:J55">SUM(D48:I48)</f>
        <v>614</v>
      </c>
      <c r="K48" s="10">
        <f aca="true" t="shared" si="44" ref="K48:K55">COUNTIF(D48:I48,"&gt;0")</f>
        <v>6</v>
      </c>
      <c r="L48" s="10">
        <f>IF($B48="",0,VLOOKUP($B48,'Eingabe Einzelspieler'!$A$2:$P$124,L$1,FALSE))</f>
        <v>0</v>
      </c>
      <c r="M48" s="10">
        <f>IF(('Eingabe Einzelspieler'!$I$125-1)&gt;K48,1,"")</f>
      </c>
      <c r="N48" s="10">
        <f>IF('Eingabe Einzelspieler'!$I$125=1,0,IF(K48='Eingabe Einzelspieler'!$I$125,1,0))</f>
        <v>1</v>
      </c>
      <c r="O48" s="10">
        <f aca="true" t="shared" si="45" ref="O48:O55">IF(N48=1,LARGE(D48:I48,1),"")</f>
        <v>115</v>
      </c>
      <c r="P48" s="10">
        <f aca="true" t="shared" si="46" ref="P48:P55">IF(M48=1,"ADW",IF(N48=1,SUM(J48-O48),J48))</f>
        <v>499</v>
      </c>
      <c r="Q48" s="82">
        <f aca="true" t="shared" si="47" ref="Q48:Q55">IF(J48=0,0,IF(AND(K48=1,N48=1),J48/3,IF(M48=1,"",IF(N48=0,P48/K48/3,P48/(K48-N48)/3))))</f>
        <v>33.266666666666666</v>
      </c>
      <c r="R48" s="83">
        <f>IF(M48=1,100,RANK(P48,$P$44:$P$65,1))</f>
        <v>11</v>
      </c>
      <c r="S48" s="83">
        <f>COUNTIF(R$44:R48,R48)</f>
        <v>1</v>
      </c>
      <c r="T48" s="83">
        <f aca="true" t="shared" si="48" ref="T48:T55">R48+S48-1</f>
        <v>11</v>
      </c>
      <c r="U48" s="88">
        <f aca="true" t="shared" si="49" ref="U48:U55">IF(M48=1,2500+(T48/10000),P48+(T48/10000)+(L48/10))</f>
        <v>499.0011</v>
      </c>
      <c r="V48" s="34">
        <f aca="true" t="shared" si="50" ref="V48:V55">A48</f>
        <v>5</v>
      </c>
      <c r="W48" s="88">
        <f>SMALL(U$44:U$65,A48)</f>
        <v>466.0005</v>
      </c>
      <c r="X48" s="83">
        <f t="shared" si="40"/>
        <v>11</v>
      </c>
      <c r="Y48" s="12">
        <f aca="true" t="shared" si="51" ref="Y48:Y55">A48</f>
        <v>5</v>
      </c>
      <c r="Z48" s="50">
        <f t="shared" si="41"/>
        <v>0</v>
      </c>
      <c r="AA48" s="52" t="str">
        <f t="shared" si="42"/>
        <v>Selenic, P</v>
      </c>
      <c r="AB48" s="52" t="str">
        <f t="shared" si="42"/>
        <v>1.MSC Wesel</v>
      </c>
      <c r="AC48" s="12">
        <f t="shared" si="42"/>
        <v>466</v>
      </c>
      <c r="AD48" s="55">
        <f t="shared" si="42"/>
        <v>101</v>
      </c>
      <c r="AE48" s="56">
        <f t="shared" si="42"/>
        <v>31.066666666666666</v>
      </c>
      <c r="AF48" s="12">
        <f t="shared" si="42"/>
        <v>98</v>
      </c>
      <c r="AG48" s="12">
        <f t="shared" si="42"/>
        <v>96</v>
      </c>
      <c r="AH48" s="12">
        <f t="shared" si="42"/>
        <v>93</v>
      </c>
      <c r="AI48" s="12">
        <f t="shared" si="42"/>
        <v>87</v>
      </c>
      <c r="AJ48" s="12">
        <f t="shared" si="42"/>
        <v>101</v>
      </c>
      <c r="AK48" s="12">
        <f t="shared" si="42"/>
        <v>92</v>
      </c>
    </row>
    <row r="49" spans="1:37" ht="12.75">
      <c r="A49" s="52">
        <v>6</v>
      </c>
      <c r="B49" s="14" t="str">
        <f>VLOOKUP($A49,'Eingabe Einzelspieler'!$M$2:$V$124,9,FALSE)</f>
        <v>Heine, L</v>
      </c>
      <c r="C49" s="14" t="str">
        <f>VLOOKUP($A49,'Eingabe Einzelspieler'!$M$2:$V$124,10,FALSE)</f>
        <v>1.MSC Wesel</v>
      </c>
      <c r="D49" s="34">
        <f>IF($B49="",0,VLOOKUP($B49,'Eingabe Einzelspieler'!$A$2:$P$124,D$1,FALSE))</f>
        <v>116</v>
      </c>
      <c r="E49" s="34">
        <f>IF($B49="",0,VLOOKUP($B49,'Eingabe Einzelspieler'!$A$2:$P$124,E$1,FALSE))</f>
        <v>98</v>
      </c>
      <c r="F49" s="34">
        <f>IF($B49="",0,VLOOKUP($B49,'Eingabe Einzelspieler'!$A$2:$P$124,F$1,FALSE))</f>
        <v>109</v>
      </c>
      <c r="G49" s="34">
        <f>IF($B49="",0,VLOOKUP($B49,'Eingabe Einzelspieler'!$A$2:$P$124,G$1,FALSE))</f>
        <v>105</v>
      </c>
      <c r="H49" s="34">
        <f>IF($B49="",0,VLOOKUP($B49,'Eingabe Einzelspieler'!$A$2:$P$124,H$1,FALSE))</f>
        <v>93</v>
      </c>
      <c r="I49" s="34">
        <f>IF($B49="",0,VLOOKUP($B49,'Eingabe Einzelspieler'!$A$2:$P$124,I$1,FALSE))</f>
        <v>107</v>
      </c>
      <c r="J49" s="10">
        <f t="shared" si="43"/>
        <v>628</v>
      </c>
      <c r="K49" s="10">
        <f t="shared" si="44"/>
        <v>6</v>
      </c>
      <c r="L49" s="10">
        <f>IF($B49="",0,VLOOKUP($B49,'Eingabe Einzelspieler'!$A$2:$P$124,L$1,FALSE))</f>
        <v>0</v>
      </c>
      <c r="M49" s="10">
        <f>IF(('Eingabe Einzelspieler'!$I$125-1)&gt;K49,1,"")</f>
      </c>
      <c r="N49" s="10">
        <f>IF('Eingabe Einzelspieler'!$I$125=1,0,IF(K49='Eingabe Einzelspieler'!$I$125,1,0))</f>
        <v>1</v>
      </c>
      <c r="O49" s="10">
        <f t="shared" si="45"/>
        <v>116</v>
      </c>
      <c r="P49" s="10">
        <f t="shared" si="46"/>
        <v>512</v>
      </c>
      <c r="Q49" s="82">
        <f t="shared" si="47"/>
        <v>34.13333333333333</v>
      </c>
      <c r="R49" s="83">
        <f aca="true" t="shared" si="52" ref="R49:R54">IF(M49=1,100,RANK(P49,$P$44:$P$65,1))</f>
        <v>14</v>
      </c>
      <c r="S49" s="83">
        <f>COUNTIF(R$44:R49,R49)</f>
        <v>1</v>
      </c>
      <c r="T49" s="83">
        <f t="shared" si="48"/>
        <v>14</v>
      </c>
      <c r="U49" s="88">
        <f t="shared" si="49"/>
        <v>512.0014</v>
      </c>
      <c r="V49" s="34">
        <f t="shared" si="50"/>
        <v>6</v>
      </c>
      <c r="W49" s="88">
        <f aca="true" t="shared" si="53" ref="W49:W54">SMALL(U$44:U$65,A49)</f>
        <v>473.0006</v>
      </c>
      <c r="X49" s="83">
        <f t="shared" si="40"/>
        <v>17</v>
      </c>
      <c r="Y49" s="12">
        <f t="shared" si="51"/>
        <v>6</v>
      </c>
      <c r="Z49" s="50">
        <f t="shared" si="41"/>
        <v>0</v>
      </c>
      <c r="AA49" s="52" t="str">
        <f t="shared" si="42"/>
        <v>Tockner, F</v>
      </c>
      <c r="AB49" s="52" t="str">
        <f t="shared" si="42"/>
        <v>MGC Neviges</v>
      </c>
      <c r="AC49" s="12">
        <f t="shared" si="42"/>
        <v>473</v>
      </c>
      <c r="AD49" s="55">
        <f t="shared" si="42"/>
      </c>
      <c r="AE49" s="56">
        <f t="shared" si="42"/>
        <v>31.53333333333333</v>
      </c>
      <c r="AF49" s="12">
        <f t="shared" si="42"/>
        <v>105</v>
      </c>
      <c r="AG49" s="12">
        <f t="shared" si="42"/>
        <v>95</v>
      </c>
      <c r="AH49" s="12">
        <f t="shared" si="42"/>
        <v>90</v>
      </c>
      <c r="AI49" s="12">
        <f t="shared" si="42"/>
        <v>97</v>
      </c>
      <c r="AJ49" s="12">
        <f t="shared" si="42"/>
        <v>86</v>
      </c>
      <c r="AK49" s="12">
        <f t="shared" si="42"/>
        <v>0</v>
      </c>
    </row>
    <row r="50" spans="1:37" ht="12.75">
      <c r="A50" s="52">
        <v>7</v>
      </c>
      <c r="B50" s="14" t="str">
        <f>VLOOKUP($A50,'Eingabe Einzelspieler'!$M$2:$V$124,9,FALSE)</f>
        <v>Heinrich, W</v>
      </c>
      <c r="C50" s="14" t="str">
        <f>VLOOKUP($A50,'Eingabe Einzelspieler'!$M$2:$V$124,10,FALSE)</f>
        <v>1.MSC Wesel</v>
      </c>
      <c r="D50" s="34">
        <f>IF($B50="",0,VLOOKUP($B50,'Eingabe Einzelspieler'!$A$2:$P$124,D$1,FALSE))</f>
        <v>113</v>
      </c>
      <c r="E50" s="34">
        <f>IF($B50="",0,VLOOKUP($B50,'Eingabe Einzelspieler'!$A$2:$P$124,E$1,FALSE))</f>
        <v>115</v>
      </c>
      <c r="F50" s="34">
        <f>IF($B50="",0,VLOOKUP($B50,'Eingabe Einzelspieler'!$A$2:$P$124,F$1,FALSE))</f>
        <v>108</v>
      </c>
      <c r="G50" s="34">
        <f>IF($B50="",0,VLOOKUP($B50,'Eingabe Einzelspieler'!$A$2:$P$124,G$1,FALSE))</f>
        <v>104</v>
      </c>
      <c r="H50" s="34">
        <f>IF($B50="",0,VLOOKUP($B50,'Eingabe Einzelspieler'!$A$2:$P$124,H$1,FALSE))</f>
        <v>117</v>
      </c>
      <c r="I50" s="34">
        <f>IF($B50="",0,VLOOKUP($B50,'Eingabe Einzelspieler'!$A$2:$P$124,I$1,FALSE))</f>
        <v>98</v>
      </c>
      <c r="J50" s="10">
        <f t="shared" si="43"/>
        <v>655</v>
      </c>
      <c r="K50" s="10">
        <f t="shared" si="44"/>
        <v>6</v>
      </c>
      <c r="L50" s="10">
        <f>IF($B50="",0,VLOOKUP($B50,'Eingabe Einzelspieler'!$A$2:$P$124,L$1,FALSE))</f>
        <v>0</v>
      </c>
      <c r="M50" s="10">
        <f>IF(('Eingabe Einzelspieler'!$I$125-1)&gt;K50,1,"")</f>
      </c>
      <c r="N50" s="10">
        <f>IF('Eingabe Einzelspieler'!$I$125=1,0,IF(K50='Eingabe Einzelspieler'!$I$125,1,0))</f>
        <v>1</v>
      </c>
      <c r="O50" s="10">
        <f t="shared" si="45"/>
        <v>117</v>
      </c>
      <c r="P50" s="10">
        <f t="shared" si="46"/>
        <v>538</v>
      </c>
      <c r="Q50" s="82">
        <f t="shared" si="47"/>
        <v>35.86666666666667</v>
      </c>
      <c r="R50" s="83">
        <f t="shared" si="52"/>
        <v>20</v>
      </c>
      <c r="S50" s="83">
        <f>COUNTIF(R$44:R50,R50)</f>
        <v>1</v>
      </c>
      <c r="T50" s="83">
        <f t="shared" si="48"/>
        <v>20</v>
      </c>
      <c r="U50" s="88">
        <f t="shared" si="49"/>
        <v>538.002</v>
      </c>
      <c r="V50" s="34">
        <f t="shared" si="50"/>
        <v>7</v>
      </c>
      <c r="W50" s="88">
        <f t="shared" si="53"/>
        <v>475.0007</v>
      </c>
      <c r="X50" s="83">
        <f t="shared" si="40"/>
        <v>16</v>
      </c>
      <c r="Y50" s="12">
        <f t="shared" si="51"/>
        <v>7</v>
      </c>
      <c r="Z50" s="50">
        <f t="shared" si="41"/>
        <v>0</v>
      </c>
      <c r="AA50" s="52" t="str">
        <f t="shared" si="42"/>
        <v>Reh, B</v>
      </c>
      <c r="AB50" s="52" t="str">
        <f t="shared" si="42"/>
        <v>MGC Neviges</v>
      </c>
      <c r="AC50" s="12">
        <f t="shared" si="42"/>
        <v>475</v>
      </c>
      <c r="AD50" s="55">
        <f t="shared" si="42"/>
        <v>114</v>
      </c>
      <c r="AE50" s="56">
        <f t="shared" si="42"/>
        <v>31.666666666666668</v>
      </c>
      <c r="AF50" s="12">
        <f t="shared" si="42"/>
        <v>114</v>
      </c>
      <c r="AG50" s="12">
        <f t="shared" si="42"/>
        <v>92</v>
      </c>
      <c r="AH50" s="12">
        <f t="shared" si="42"/>
        <v>95</v>
      </c>
      <c r="AI50" s="12">
        <f t="shared" si="42"/>
        <v>105</v>
      </c>
      <c r="AJ50" s="12">
        <f t="shared" si="42"/>
        <v>86</v>
      </c>
      <c r="AK50" s="12">
        <f t="shared" si="42"/>
        <v>97</v>
      </c>
    </row>
    <row r="51" spans="1:37" ht="12.75">
      <c r="A51" s="52">
        <v>8</v>
      </c>
      <c r="B51" s="14" t="str">
        <f>VLOOKUP($A51,'Eingabe Einzelspieler'!$M$2:$V$124,9,FALSE)</f>
        <v>Rüger, D</v>
      </c>
      <c r="C51" s="14" t="str">
        <f>VLOOKUP($A51,'Eingabe Einzelspieler'!$M$2:$V$124,10,FALSE)</f>
        <v>1.MSC Wesel</v>
      </c>
      <c r="D51" s="34">
        <f>IF($B51="",0,VLOOKUP($B51,'Eingabe Einzelspieler'!$A$2:$P$124,D$1,FALSE))</f>
        <v>107</v>
      </c>
      <c r="E51" s="34">
        <f>IF($B51="",0,VLOOKUP($B51,'Eingabe Einzelspieler'!$A$2:$P$124,E$1,FALSE))</f>
        <v>0</v>
      </c>
      <c r="F51" s="34">
        <f>IF($B51="",0,VLOOKUP($B51,'Eingabe Einzelspieler'!$A$2:$P$124,F$1,FALSE))</f>
        <v>102</v>
      </c>
      <c r="G51" s="34">
        <f>IF($B51="",0,VLOOKUP($B51,'Eingabe Einzelspieler'!$A$2:$P$124,G$1,FALSE))</f>
        <v>104</v>
      </c>
      <c r="H51" s="34">
        <f>IF($B51="",0,VLOOKUP($B51,'Eingabe Einzelspieler'!$A$2:$P$124,H$1,FALSE))</f>
        <v>102</v>
      </c>
      <c r="I51" s="34">
        <f>IF($B51="",0,VLOOKUP($B51,'Eingabe Einzelspieler'!$A$2:$P$124,I$1,FALSE))</f>
        <v>101</v>
      </c>
      <c r="J51" s="10">
        <f t="shared" si="43"/>
        <v>516</v>
      </c>
      <c r="K51" s="10">
        <f t="shared" si="44"/>
        <v>5</v>
      </c>
      <c r="L51" s="10">
        <f>IF($B51="",0,VLOOKUP($B51,'Eingabe Einzelspieler'!$A$2:$P$124,L$1,FALSE))</f>
        <v>0</v>
      </c>
      <c r="M51" s="10">
        <f>IF(('Eingabe Einzelspieler'!$I$125-1)&gt;K51,1,"")</f>
      </c>
      <c r="N51" s="10">
        <f>IF('Eingabe Einzelspieler'!$I$125=1,0,IF(K51='Eingabe Einzelspieler'!$I$125,1,0))</f>
        <v>0</v>
      </c>
      <c r="O51" s="10">
        <f t="shared" si="45"/>
      </c>
      <c r="P51" s="10">
        <f t="shared" si="46"/>
        <v>516</v>
      </c>
      <c r="Q51" s="82">
        <f t="shared" si="47"/>
        <v>34.4</v>
      </c>
      <c r="R51" s="83">
        <f t="shared" si="52"/>
        <v>15</v>
      </c>
      <c r="S51" s="83">
        <f>COUNTIF(R$44:R51,R51)</f>
        <v>1</v>
      </c>
      <c r="T51" s="83">
        <f t="shared" si="48"/>
        <v>15</v>
      </c>
      <c r="U51" s="88">
        <f t="shared" si="49"/>
        <v>516.0015</v>
      </c>
      <c r="V51" s="34">
        <f t="shared" si="50"/>
        <v>8</v>
      </c>
      <c r="W51" s="88">
        <f t="shared" si="53"/>
        <v>484.0008</v>
      </c>
      <c r="X51" s="83">
        <f t="shared" si="40"/>
        <v>14</v>
      </c>
      <c r="Y51" s="12">
        <f t="shared" si="51"/>
        <v>8</v>
      </c>
      <c r="Z51" s="50">
        <f t="shared" si="41"/>
        <v>0</v>
      </c>
      <c r="AA51" s="52" t="str">
        <f t="shared" si="42"/>
        <v>Kuhl, D</v>
      </c>
      <c r="AB51" s="52" t="str">
        <f t="shared" si="42"/>
        <v>MGC Neviges</v>
      </c>
      <c r="AC51" s="12">
        <f t="shared" si="42"/>
        <v>484</v>
      </c>
      <c r="AD51" s="55">
        <f t="shared" si="42"/>
        <v>107</v>
      </c>
      <c r="AE51" s="56">
        <f t="shared" si="42"/>
        <v>32.266666666666666</v>
      </c>
      <c r="AF51" s="12">
        <f t="shared" si="42"/>
        <v>107</v>
      </c>
      <c r="AG51" s="12">
        <f t="shared" si="42"/>
        <v>98</v>
      </c>
      <c r="AH51" s="12">
        <f t="shared" si="42"/>
        <v>97</v>
      </c>
      <c r="AI51" s="12">
        <f t="shared" si="42"/>
        <v>100</v>
      </c>
      <c r="AJ51" s="12">
        <f t="shared" si="42"/>
        <v>95</v>
      </c>
      <c r="AK51" s="12">
        <f t="shared" si="42"/>
        <v>94</v>
      </c>
    </row>
    <row r="52" spans="1:37" ht="12.75">
      <c r="A52" s="52">
        <v>9</v>
      </c>
      <c r="B52" s="14" t="str">
        <f>VLOOKUP($A52,'Eingabe Einzelspieler'!$M$2:$V$124,9,FALSE)</f>
        <v>Rüger, Jos</v>
      </c>
      <c r="C52" s="14" t="str">
        <f>VLOOKUP($A52,'Eingabe Einzelspieler'!$M$2:$V$124,10,FALSE)</f>
        <v>1.MSC Wesel</v>
      </c>
      <c r="D52" s="34">
        <f>IF($B52="",0,VLOOKUP($B52,'Eingabe Einzelspieler'!$A$2:$P$124,D$1,FALSE))</f>
        <v>107</v>
      </c>
      <c r="E52" s="34">
        <f>IF($B52="",0,VLOOKUP($B52,'Eingabe Einzelspieler'!$A$2:$P$124,E$1,FALSE))</f>
        <v>0</v>
      </c>
      <c r="F52" s="34">
        <f>IF($B52="",0,VLOOKUP($B52,'Eingabe Einzelspieler'!$A$2:$P$124,F$1,FALSE))</f>
        <v>104</v>
      </c>
      <c r="G52" s="34">
        <f>IF($B52="",0,VLOOKUP($B52,'Eingabe Einzelspieler'!$A$2:$P$124,G$1,FALSE))</f>
        <v>99</v>
      </c>
      <c r="H52" s="34">
        <f>IF($B52="",0,VLOOKUP($B52,'Eingabe Einzelspieler'!$A$2:$P$124,H$1,FALSE))</f>
        <v>106</v>
      </c>
      <c r="I52" s="34">
        <f>IF($B52="",0,VLOOKUP($B52,'Eingabe Einzelspieler'!$A$2:$P$124,I$1,FALSE))</f>
        <v>104</v>
      </c>
      <c r="J52" s="10">
        <f t="shared" si="43"/>
        <v>520</v>
      </c>
      <c r="K52" s="10">
        <f t="shared" si="44"/>
        <v>5</v>
      </c>
      <c r="L52" s="10">
        <f>IF($B52="",0,VLOOKUP($B52,'Eingabe Einzelspieler'!$A$2:$P$124,L$1,FALSE))</f>
        <v>0</v>
      </c>
      <c r="M52" s="10">
        <f>IF(('Eingabe Einzelspieler'!$I$125-1)&gt;K52,1,"")</f>
      </c>
      <c r="N52" s="10">
        <f>IF('Eingabe Einzelspieler'!$I$125=1,0,IF(K52='Eingabe Einzelspieler'!$I$125,1,0))</f>
        <v>0</v>
      </c>
      <c r="O52" s="10">
        <f t="shared" si="45"/>
      </c>
      <c r="P52" s="10">
        <f t="shared" si="46"/>
        <v>520</v>
      </c>
      <c r="Q52" s="82">
        <f t="shared" si="47"/>
        <v>34.666666666666664</v>
      </c>
      <c r="R52" s="83">
        <f t="shared" si="52"/>
        <v>18</v>
      </c>
      <c r="S52" s="83">
        <f>COUNTIF(R$44:R52,R52)</f>
        <v>1</v>
      </c>
      <c r="T52" s="83">
        <f t="shared" si="48"/>
        <v>18</v>
      </c>
      <c r="U52" s="88">
        <f t="shared" si="49"/>
        <v>520.0018</v>
      </c>
      <c r="V52" s="34">
        <f t="shared" si="50"/>
        <v>9</v>
      </c>
      <c r="W52" s="88">
        <f t="shared" si="53"/>
        <v>489.0009</v>
      </c>
      <c r="X52" s="83">
        <f t="shared" si="40"/>
        <v>1</v>
      </c>
      <c r="Y52" s="12">
        <f t="shared" si="51"/>
        <v>9</v>
      </c>
      <c r="Z52" s="50">
        <f t="shared" si="41"/>
        <v>0</v>
      </c>
      <c r="AA52" s="101" t="str">
        <f t="shared" si="42"/>
        <v>Endberg, W</v>
      </c>
      <c r="AB52" s="101" t="str">
        <f t="shared" si="42"/>
        <v>MGC "AS" Witten</v>
      </c>
      <c r="AC52" s="102">
        <f t="shared" si="42"/>
        <v>489</v>
      </c>
      <c r="AD52" s="55">
        <f t="shared" si="42"/>
      </c>
      <c r="AE52" s="56">
        <f t="shared" si="42"/>
        <v>32.6</v>
      </c>
      <c r="AF52" s="12">
        <f t="shared" si="42"/>
        <v>0</v>
      </c>
      <c r="AG52" s="12">
        <f t="shared" si="42"/>
        <v>94</v>
      </c>
      <c r="AH52" s="12">
        <f t="shared" si="42"/>
        <v>100</v>
      </c>
      <c r="AI52" s="12">
        <f t="shared" si="42"/>
        <v>88</v>
      </c>
      <c r="AJ52" s="12">
        <f t="shared" si="42"/>
        <v>109</v>
      </c>
      <c r="AK52" s="12">
        <f t="shared" si="42"/>
        <v>98</v>
      </c>
    </row>
    <row r="53" spans="1:37" ht="12.75">
      <c r="A53" s="52">
        <v>10</v>
      </c>
      <c r="B53" s="14" t="str">
        <f>VLOOKUP($A53,'Eingabe Einzelspieler'!$M$2:$V$124,9,FALSE)</f>
        <v>Schilling, A</v>
      </c>
      <c r="C53" s="14" t="str">
        <f>VLOOKUP($A53,'Eingabe Einzelspieler'!$M$2:$V$124,10,FALSE)</f>
        <v>1.MSC Wesel</v>
      </c>
      <c r="D53" s="34">
        <f>IF($B53="",0,VLOOKUP($B53,'Eingabe Einzelspieler'!$A$2:$P$124,D$1,FALSE))</f>
        <v>90</v>
      </c>
      <c r="E53" s="34">
        <f>IF($B53="",0,VLOOKUP($B53,'Eingabe Einzelspieler'!$A$2:$P$124,E$1,FALSE))</f>
        <v>93</v>
      </c>
      <c r="F53" s="34">
        <f>IF($B53="",0,VLOOKUP($B53,'Eingabe Einzelspieler'!$A$2:$P$124,F$1,FALSE))</f>
        <v>89</v>
      </c>
      <c r="G53" s="34">
        <f>IF($B53="",0,VLOOKUP($B53,'Eingabe Einzelspieler'!$A$2:$P$124,G$1,FALSE))</f>
        <v>88</v>
      </c>
      <c r="H53" s="34">
        <f>IF($B53="",0,VLOOKUP($B53,'Eingabe Einzelspieler'!$A$2:$P$124,H$1,FALSE))</f>
        <v>90</v>
      </c>
      <c r="I53" s="34">
        <f>IF($B53="",0,VLOOKUP($B53,'Eingabe Einzelspieler'!$A$2:$P$124,I$1,FALSE))</f>
        <v>88</v>
      </c>
      <c r="J53" s="10">
        <f t="shared" si="43"/>
        <v>538</v>
      </c>
      <c r="K53" s="10">
        <f t="shared" si="44"/>
        <v>6</v>
      </c>
      <c r="L53" s="10">
        <f>IF($B53="",0,VLOOKUP($B53,'Eingabe Einzelspieler'!$A$2:$P$124,L$1,FALSE))</f>
        <v>0</v>
      </c>
      <c r="M53" s="10">
        <f>IF(('Eingabe Einzelspieler'!$I$125-1)&gt;K53,1,"")</f>
      </c>
      <c r="N53" s="10">
        <f>IF('Eingabe Einzelspieler'!$I$125=1,0,IF(K53='Eingabe Einzelspieler'!$I$125,1,0))</f>
        <v>1</v>
      </c>
      <c r="O53" s="10">
        <f t="shared" si="45"/>
        <v>93</v>
      </c>
      <c r="P53" s="10">
        <f t="shared" si="46"/>
        <v>445</v>
      </c>
      <c r="Q53" s="82">
        <f t="shared" si="47"/>
        <v>29.666666666666668</v>
      </c>
      <c r="R53" s="83">
        <f t="shared" si="52"/>
        <v>1</v>
      </c>
      <c r="S53" s="83">
        <f>COUNTIF(R$44:R53,R53)</f>
        <v>1</v>
      </c>
      <c r="T53" s="83">
        <f t="shared" si="48"/>
        <v>1</v>
      </c>
      <c r="U53" s="88">
        <f t="shared" si="49"/>
        <v>445.0001</v>
      </c>
      <c r="V53" s="34">
        <f t="shared" si="50"/>
        <v>10</v>
      </c>
      <c r="W53" s="88">
        <f t="shared" si="53"/>
        <v>494.001</v>
      </c>
      <c r="X53" s="83">
        <f t="shared" si="40"/>
        <v>18</v>
      </c>
      <c r="Y53" s="12">
        <f t="shared" si="51"/>
        <v>10</v>
      </c>
      <c r="Z53" s="50">
        <f t="shared" si="41"/>
        <v>0</v>
      </c>
      <c r="AA53" s="52" t="str">
        <f t="shared" si="42"/>
        <v>Rassler, G</v>
      </c>
      <c r="AB53" s="52" t="str">
        <f t="shared" si="42"/>
        <v>MGC Neviges</v>
      </c>
      <c r="AC53" s="12">
        <f t="shared" si="42"/>
        <v>494</v>
      </c>
      <c r="AD53" s="55">
        <f t="shared" si="42"/>
      </c>
      <c r="AE53" s="56">
        <f t="shared" si="42"/>
        <v>32.93333333333333</v>
      </c>
      <c r="AF53" s="12">
        <f t="shared" si="42"/>
        <v>93</v>
      </c>
      <c r="AG53" s="12">
        <f t="shared" si="42"/>
        <v>108</v>
      </c>
      <c r="AH53" s="12">
        <f t="shared" si="42"/>
        <v>0</v>
      </c>
      <c r="AI53" s="12">
        <f t="shared" si="42"/>
        <v>102</v>
      </c>
      <c r="AJ53" s="12">
        <f t="shared" si="42"/>
        <v>93</v>
      </c>
      <c r="AK53" s="12">
        <f t="shared" si="42"/>
        <v>98</v>
      </c>
    </row>
    <row r="54" spans="1:37" ht="12.75">
      <c r="A54" s="52">
        <v>11</v>
      </c>
      <c r="B54" s="14" t="str">
        <f>VLOOKUP($A54,'Eingabe Einzelspieler'!$M$2:$V$124,9,FALSE)</f>
        <v>Selenic, P</v>
      </c>
      <c r="C54" s="14" t="str">
        <f>VLOOKUP($A54,'Eingabe Einzelspieler'!$M$2:$V$124,10,FALSE)</f>
        <v>1.MSC Wesel</v>
      </c>
      <c r="D54" s="34">
        <f>IF($B54="",0,VLOOKUP($B54,'Eingabe Einzelspieler'!$A$2:$P$124,D$1,FALSE))</f>
        <v>98</v>
      </c>
      <c r="E54" s="34">
        <f>IF($B54="",0,VLOOKUP($B54,'Eingabe Einzelspieler'!$A$2:$P$124,E$1,FALSE))</f>
        <v>96</v>
      </c>
      <c r="F54" s="34">
        <f>IF($B54="",0,VLOOKUP($B54,'Eingabe Einzelspieler'!$A$2:$P$124,F$1,FALSE))</f>
        <v>93</v>
      </c>
      <c r="G54" s="34">
        <f>IF($B54="",0,VLOOKUP($B54,'Eingabe Einzelspieler'!$A$2:$P$124,G$1,FALSE))</f>
        <v>87</v>
      </c>
      <c r="H54" s="34">
        <f>IF($B54="",0,VLOOKUP($B54,'Eingabe Einzelspieler'!$A$2:$P$124,H$1,FALSE))</f>
        <v>101</v>
      </c>
      <c r="I54" s="34">
        <f>IF($B54="",0,VLOOKUP($B54,'Eingabe Einzelspieler'!$A$2:$P$124,I$1,FALSE))</f>
        <v>92</v>
      </c>
      <c r="J54" s="10">
        <f t="shared" si="43"/>
        <v>567</v>
      </c>
      <c r="K54" s="10">
        <f t="shared" si="44"/>
        <v>6</v>
      </c>
      <c r="L54" s="10">
        <f>IF($B54="",0,VLOOKUP($B54,'Eingabe Einzelspieler'!$A$2:$P$124,L$1,FALSE))</f>
        <v>0</v>
      </c>
      <c r="M54" s="10">
        <f>IF(('Eingabe Einzelspieler'!$I$125-1)&gt;K54,1,"")</f>
      </c>
      <c r="N54" s="10">
        <f>IF('Eingabe Einzelspieler'!$I$125=1,0,IF(K54='Eingabe Einzelspieler'!$I$125,1,0))</f>
        <v>1</v>
      </c>
      <c r="O54" s="10">
        <f t="shared" si="45"/>
        <v>101</v>
      </c>
      <c r="P54" s="10">
        <f t="shared" si="46"/>
        <v>466</v>
      </c>
      <c r="Q54" s="82">
        <f t="shared" si="47"/>
        <v>31.066666666666666</v>
      </c>
      <c r="R54" s="83">
        <f t="shared" si="52"/>
        <v>5</v>
      </c>
      <c r="S54" s="83">
        <f>COUNTIF(R$44:R54,R54)</f>
        <v>1</v>
      </c>
      <c r="T54" s="83">
        <f t="shared" si="48"/>
        <v>5</v>
      </c>
      <c r="U54" s="88">
        <f t="shared" si="49"/>
        <v>466.0005</v>
      </c>
      <c r="V54" s="34">
        <f t="shared" si="50"/>
        <v>11</v>
      </c>
      <c r="W54" s="88">
        <f t="shared" si="53"/>
        <v>499.0011</v>
      </c>
      <c r="X54" s="83">
        <f t="shared" si="40"/>
        <v>5</v>
      </c>
      <c r="Y54" s="12">
        <f t="shared" si="51"/>
        <v>11</v>
      </c>
      <c r="Z54" s="50">
        <f t="shared" si="41"/>
        <v>0</v>
      </c>
      <c r="AA54" s="52" t="str">
        <f t="shared" si="42"/>
        <v>Bork, G</v>
      </c>
      <c r="AB54" s="52" t="str">
        <f t="shared" si="42"/>
        <v>1.MSC Wesel</v>
      </c>
      <c r="AC54" s="12">
        <f t="shared" si="42"/>
        <v>499</v>
      </c>
      <c r="AD54" s="55">
        <f t="shared" si="42"/>
        <v>115</v>
      </c>
      <c r="AE54" s="56">
        <f t="shared" si="42"/>
        <v>33.266666666666666</v>
      </c>
      <c r="AF54" s="12">
        <f t="shared" si="42"/>
        <v>101</v>
      </c>
      <c r="AG54" s="12">
        <f t="shared" si="42"/>
        <v>115</v>
      </c>
      <c r="AH54" s="12">
        <f t="shared" si="42"/>
        <v>97</v>
      </c>
      <c r="AI54" s="12">
        <f t="shared" si="42"/>
        <v>96</v>
      </c>
      <c r="AJ54" s="12">
        <f t="shared" si="42"/>
        <v>98</v>
      </c>
      <c r="AK54" s="12">
        <f t="shared" si="42"/>
        <v>107</v>
      </c>
    </row>
    <row r="55" spans="1:37" ht="12.75">
      <c r="A55" s="52">
        <v>12</v>
      </c>
      <c r="B55" s="14" t="str">
        <f>VLOOKUP($A55,'Eingabe Einzelspieler'!$M$2:$V$124,9,FALSE)</f>
        <v>Herkenrath, H</v>
      </c>
      <c r="C55" s="14" t="str">
        <f>VLOOKUP($A55,'Eingabe Einzelspieler'!$M$2:$V$124,10,FALSE)</f>
        <v>MGC Neviges</v>
      </c>
      <c r="D55" s="34">
        <f>IF($B55="",0,VLOOKUP($B55,'Eingabe Einzelspieler'!$A$2:$P$124,D$1,FALSE))</f>
        <v>92</v>
      </c>
      <c r="E55" s="34">
        <f>IF($B55="",0,VLOOKUP($B55,'Eingabe Einzelspieler'!$A$2:$P$124,E$1,FALSE))</f>
        <v>93</v>
      </c>
      <c r="F55" s="34">
        <f>IF($B55="",0,VLOOKUP($B55,'Eingabe Einzelspieler'!$A$2:$P$124,F$1,FALSE))</f>
        <v>98</v>
      </c>
      <c r="G55" s="34">
        <f>IF($B55="",0,VLOOKUP($B55,'Eingabe Einzelspieler'!$A$2:$P$124,G$1,FALSE))</f>
        <v>90</v>
      </c>
      <c r="H55" s="34">
        <f>IF($B55="",0,VLOOKUP($B55,'Eingabe Einzelspieler'!$A$2:$P$124,H$1,FALSE))</f>
        <v>91</v>
      </c>
      <c r="I55" s="34">
        <f>IF($B55="",0,VLOOKUP($B55,'Eingabe Einzelspieler'!$A$2:$P$124,I$1,FALSE))</f>
        <v>93</v>
      </c>
      <c r="J55" s="10">
        <f t="shared" si="43"/>
        <v>557</v>
      </c>
      <c r="K55" s="10">
        <f t="shared" si="44"/>
        <v>6</v>
      </c>
      <c r="L55" s="10">
        <f>IF($B55="",0,VLOOKUP($B55,'Eingabe Einzelspieler'!$A$2:$P$124,L$1,FALSE))</f>
        <v>0</v>
      </c>
      <c r="M55" s="10">
        <f>IF(('Eingabe Einzelspieler'!$I$125-1)&gt;K55,1,"")</f>
      </c>
      <c r="N55" s="10">
        <f>IF('Eingabe Einzelspieler'!$I$125=1,0,IF(K55='Eingabe Einzelspieler'!$I$125,1,0))</f>
        <v>1</v>
      </c>
      <c r="O55" s="10">
        <f t="shared" si="45"/>
        <v>98</v>
      </c>
      <c r="P55" s="10">
        <f t="shared" si="46"/>
        <v>459</v>
      </c>
      <c r="Q55" s="82">
        <f t="shared" si="47"/>
        <v>30.599999999999998</v>
      </c>
      <c r="R55" s="83">
        <f aca="true" t="shared" si="54" ref="R55:R65">IF(M55=1,100,RANK(P55,$P$44:$P$65,1))</f>
        <v>3</v>
      </c>
      <c r="S55" s="83">
        <f>COUNTIF(R$44:R55,R55)</f>
        <v>1</v>
      </c>
      <c r="T55" s="83">
        <f t="shared" si="48"/>
        <v>3</v>
      </c>
      <c r="U55" s="88">
        <f t="shared" si="49"/>
        <v>459.0003</v>
      </c>
      <c r="V55" s="34">
        <f t="shared" si="50"/>
        <v>12</v>
      </c>
      <c r="W55" s="88">
        <f aca="true" t="shared" si="55" ref="W55:W65">SMALL(U$44:U$65,A55)</f>
        <v>507.0012</v>
      </c>
      <c r="X55" s="83">
        <f t="shared" si="40"/>
        <v>20</v>
      </c>
      <c r="Y55" s="12">
        <f t="shared" si="51"/>
        <v>12</v>
      </c>
      <c r="Z55" s="50">
        <f t="shared" si="41"/>
        <v>0</v>
      </c>
      <c r="AA55" s="52" t="str">
        <f t="shared" si="42"/>
        <v>Ramb, W</v>
      </c>
      <c r="AB55" s="52" t="str">
        <f t="shared" si="42"/>
        <v>BGC Uerdingen</v>
      </c>
      <c r="AC55" s="12">
        <f t="shared" si="42"/>
        <v>507</v>
      </c>
      <c r="AD55" s="55">
        <f t="shared" si="42"/>
        <v>109</v>
      </c>
      <c r="AE55" s="56">
        <f t="shared" si="42"/>
        <v>33.800000000000004</v>
      </c>
      <c r="AF55" s="12">
        <f t="shared" si="42"/>
        <v>108</v>
      </c>
      <c r="AG55" s="12">
        <f t="shared" si="42"/>
        <v>101</v>
      </c>
      <c r="AH55" s="12">
        <f t="shared" si="42"/>
        <v>109</v>
      </c>
      <c r="AI55" s="12">
        <f t="shared" si="42"/>
        <v>96</v>
      </c>
      <c r="AJ55" s="12">
        <f t="shared" si="42"/>
        <v>103</v>
      </c>
      <c r="AK55" s="12">
        <f t="shared" si="42"/>
        <v>99</v>
      </c>
    </row>
    <row r="56" spans="1:37" ht="12.75">
      <c r="A56" s="52">
        <v>13</v>
      </c>
      <c r="B56" s="14" t="str">
        <f>VLOOKUP($A56,'Eingabe Einzelspieler'!$M$2:$V$124,9,FALSE)</f>
        <v>Meike, Det</v>
      </c>
      <c r="C56" s="14" t="str">
        <f>VLOOKUP($A56,'Eingabe Einzelspieler'!$M$2:$V$124,10,FALSE)</f>
        <v>MGC Neviges</v>
      </c>
      <c r="D56" s="34">
        <f>IF($B56="",0,VLOOKUP($B56,'Eingabe Einzelspieler'!$A$2:$P$124,D$1,FALSE))</f>
        <v>105</v>
      </c>
      <c r="E56" s="34">
        <f>IF($B56="",0,VLOOKUP($B56,'Eingabe Einzelspieler'!$A$2:$P$124,E$1,FALSE))</f>
        <v>97</v>
      </c>
      <c r="F56" s="34">
        <f>IF($B56="",0,VLOOKUP($B56,'Eingabe Einzelspieler'!$A$2:$P$124,F$1,FALSE))</f>
        <v>104</v>
      </c>
      <c r="G56" s="34">
        <f>IF($B56="",0,VLOOKUP($B56,'Eingabe Einzelspieler'!$A$2:$P$124,G$1,FALSE))</f>
        <v>112</v>
      </c>
      <c r="H56" s="34">
        <f>IF($B56="",0,VLOOKUP($B56,'Eingabe Einzelspieler'!$A$2:$P$124,H$1,FALSE))</f>
        <v>97</v>
      </c>
      <c r="I56" s="34">
        <f>IF($B56="",0,VLOOKUP($B56,'Eingabe Einzelspieler'!$A$2:$P$124,I$1,FALSE))</f>
        <v>107</v>
      </c>
      <c r="J56" s="10">
        <f aca="true" t="shared" si="56" ref="J56:J65">SUM(D56:I56)</f>
        <v>622</v>
      </c>
      <c r="K56" s="10">
        <f aca="true" t="shared" si="57" ref="K56:K65">COUNTIF(D56:I56,"&gt;0")</f>
        <v>6</v>
      </c>
      <c r="L56" s="10">
        <f>IF($B56="",0,VLOOKUP($B56,'Eingabe Einzelspieler'!$A$2:$P$124,L$1,FALSE))</f>
        <v>0</v>
      </c>
      <c r="M56" s="10">
        <f>IF(('Eingabe Einzelspieler'!$I$125-1)&gt;K56,1,"")</f>
      </c>
      <c r="N56" s="10">
        <f>IF('Eingabe Einzelspieler'!$I$125=1,0,IF(K56='Eingabe Einzelspieler'!$I$125,1,0))</f>
        <v>1</v>
      </c>
      <c r="O56" s="10">
        <f aca="true" t="shared" si="58" ref="O56:O65">IF(N56=1,LARGE(D56:I56,1),"")</f>
        <v>112</v>
      </c>
      <c r="P56" s="10">
        <f aca="true" t="shared" si="59" ref="P56:P65">IF(M56=1,"ADW",IF(N56=1,SUM(J56-O56),J56))</f>
        <v>510</v>
      </c>
      <c r="Q56" s="82">
        <f aca="true" t="shared" si="60" ref="Q56:Q65">IF(J56=0,0,IF(AND(K56=1,N56=1),J56/3,IF(M56=1,"",IF(N56=0,P56/K56/3,P56/(K56-N56)/3))))</f>
        <v>34</v>
      </c>
      <c r="R56" s="83">
        <f t="shared" si="54"/>
        <v>13</v>
      </c>
      <c r="S56" s="83">
        <f>COUNTIF(R$44:R56,R56)</f>
        <v>1</v>
      </c>
      <c r="T56" s="83">
        <f aca="true" t="shared" si="61" ref="T56:T65">R56+S56-1</f>
        <v>13</v>
      </c>
      <c r="U56" s="88">
        <f aca="true" t="shared" si="62" ref="U56:U65">IF(M56=1,2500+(T56/10000),P56+(T56/10000)+(L56/10))</f>
        <v>510.0013</v>
      </c>
      <c r="V56" s="34">
        <f aca="true" t="shared" si="63" ref="V56:V65">A56</f>
        <v>13</v>
      </c>
      <c r="W56" s="88">
        <f t="shared" si="55"/>
        <v>510.0013</v>
      </c>
      <c r="X56" s="83">
        <f t="shared" si="40"/>
        <v>13</v>
      </c>
      <c r="Y56" s="12">
        <f aca="true" t="shared" si="64" ref="Y56:Y65">A56</f>
        <v>13</v>
      </c>
      <c r="Z56" s="50">
        <f t="shared" si="41"/>
        <v>0</v>
      </c>
      <c r="AA56" s="52" t="str">
        <f t="shared" si="42"/>
        <v>Meike, Det</v>
      </c>
      <c r="AB56" s="52" t="str">
        <f t="shared" si="42"/>
        <v>MGC Neviges</v>
      </c>
      <c r="AC56" s="12">
        <f t="shared" si="42"/>
        <v>510</v>
      </c>
      <c r="AD56" s="55">
        <f t="shared" si="42"/>
        <v>112</v>
      </c>
      <c r="AE56" s="56">
        <f t="shared" si="42"/>
        <v>34</v>
      </c>
      <c r="AF56" s="12">
        <f t="shared" si="42"/>
        <v>105</v>
      </c>
      <c r="AG56" s="12">
        <f t="shared" si="42"/>
        <v>97</v>
      </c>
      <c r="AH56" s="12">
        <f t="shared" si="42"/>
        <v>104</v>
      </c>
      <c r="AI56" s="12">
        <f t="shared" si="42"/>
        <v>112</v>
      </c>
      <c r="AJ56" s="12">
        <f t="shared" si="42"/>
        <v>97</v>
      </c>
      <c r="AK56" s="12">
        <f t="shared" si="42"/>
        <v>107</v>
      </c>
    </row>
    <row r="57" spans="1:37" ht="12.75">
      <c r="A57" s="52">
        <v>14</v>
      </c>
      <c r="B57" s="14" t="str">
        <f>VLOOKUP($A57,'Eingabe Einzelspieler'!$M$2:$V$124,9,FALSE)</f>
        <v>Kuhl, D</v>
      </c>
      <c r="C57" s="14" t="str">
        <f>VLOOKUP($A57,'Eingabe Einzelspieler'!$M$2:$V$124,10,FALSE)</f>
        <v>MGC Neviges</v>
      </c>
      <c r="D57" s="34">
        <f>IF($B57="",0,VLOOKUP($B57,'Eingabe Einzelspieler'!$A$2:$P$124,D$1,FALSE))</f>
        <v>107</v>
      </c>
      <c r="E57" s="34">
        <f>IF($B57="",0,VLOOKUP($B57,'Eingabe Einzelspieler'!$A$2:$P$124,E$1,FALSE))</f>
        <v>98</v>
      </c>
      <c r="F57" s="34">
        <f>IF($B57="",0,VLOOKUP($B57,'Eingabe Einzelspieler'!$A$2:$P$124,F$1,FALSE))</f>
        <v>97</v>
      </c>
      <c r="G57" s="34">
        <f>IF($B57="",0,VLOOKUP($B57,'Eingabe Einzelspieler'!$A$2:$P$124,G$1,FALSE))</f>
        <v>100</v>
      </c>
      <c r="H57" s="34">
        <f>IF($B57="",0,VLOOKUP($B57,'Eingabe Einzelspieler'!$A$2:$P$124,H$1,FALSE))</f>
        <v>95</v>
      </c>
      <c r="I57" s="34">
        <f>IF($B57="",0,VLOOKUP($B57,'Eingabe Einzelspieler'!$A$2:$P$124,I$1,FALSE))</f>
        <v>94</v>
      </c>
      <c r="J57" s="10">
        <f t="shared" si="56"/>
        <v>591</v>
      </c>
      <c r="K57" s="10">
        <f t="shared" si="57"/>
        <v>6</v>
      </c>
      <c r="L57" s="10">
        <f>IF($B57="",0,VLOOKUP($B57,'Eingabe Einzelspieler'!$A$2:$P$124,L$1,FALSE))</f>
        <v>0</v>
      </c>
      <c r="M57" s="10">
        <f>IF(('Eingabe Einzelspieler'!$I$125-1)&gt;K57,1,"")</f>
      </c>
      <c r="N57" s="10">
        <f>IF('Eingabe Einzelspieler'!$I$125=1,0,IF(K57='Eingabe Einzelspieler'!$I$125,1,0))</f>
        <v>1</v>
      </c>
      <c r="O57" s="10">
        <f t="shared" si="58"/>
        <v>107</v>
      </c>
      <c r="P57" s="10">
        <f t="shared" si="59"/>
        <v>484</v>
      </c>
      <c r="Q57" s="82">
        <f t="shared" si="60"/>
        <v>32.266666666666666</v>
      </c>
      <c r="R57" s="83">
        <f t="shared" si="54"/>
        <v>8</v>
      </c>
      <c r="S57" s="83">
        <f>COUNTIF(R$44:R57,R57)</f>
        <v>1</v>
      </c>
      <c r="T57" s="83">
        <f t="shared" si="61"/>
        <v>8</v>
      </c>
      <c r="U57" s="88">
        <f t="shared" si="62"/>
        <v>484.0008</v>
      </c>
      <c r="V57" s="34">
        <f t="shared" si="63"/>
        <v>14</v>
      </c>
      <c r="W57" s="88">
        <f t="shared" si="55"/>
        <v>512.0014</v>
      </c>
      <c r="X57" s="83">
        <f t="shared" si="40"/>
        <v>6</v>
      </c>
      <c r="Y57" s="12">
        <f t="shared" si="64"/>
        <v>14</v>
      </c>
      <c r="Z57" s="50">
        <f t="shared" si="41"/>
        <v>0</v>
      </c>
      <c r="AA57" s="52" t="str">
        <f t="shared" si="42"/>
        <v>Heine, L</v>
      </c>
      <c r="AB57" s="52" t="str">
        <f t="shared" si="42"/>
        <v>1.MSC Wesel</v>
      </c>
      <c r="AC57" s="12">
        <f t="shared" si="42"/>
        <v>512</v>
      </c>
      <c r="AD57" s="55">
        <f t="shared" si="42"/>
        <v>116</v>
      </c>
      <c r="AE57" s="56">
        <f t="shared" si="42"/>
        <v>34.13333333333333</v>
      </c>
      <c r="AF57" s="12">
        <f t="shared" si="42"/>
        <v>116</v>
      </c>
      <c r="AG57" s="12">
        <f t="shared" si="42"/>
        <v>98</v>
      </c>
      <c r="AH57" s="12">
        <f t="shared" si="42"/>
        <v>109</v>
      </c>
      <c r="AI57" s="12">
        <f t="shared" si="42"/>
        <v>105</v>
      </c>
      <c r="AJ57" s="12">
        <f t="shared" si="42"/>
        <v>93</v>
      </c>
      <c r="AK57" s="12">
        <f t="shared" si="42"/>
        <v>107</v>
      </c>
    </row>
    <row r="58" spans="1:37" ht="12.75">
      <c r="A58" s="52">
        <v>15</v>
      </c>
      <c r="B58" s="14" t="str">
        <f>VLOOKUP($A58,'Eingabe Einzelspieler'!$M$2:$V$124,9,FALSE)</f>
        <v>Falterbaum, J</v>
      </c>
      <c r="C58" s="14" t="str">
        <f>VLOOKUP($A58,'Eingabe Einzelspieler'!$M$2:$V$124,10,FALSE)</f>
        <v>MGC Neviges</v>
      </c>
      <c r="D58" s="34">
        <f>IF($B58="",0,VLOOKUP($B58,'Eingabe Einzelspieler'!$A$2:$P$124,D$1,FALSE))</f>
        <v>102</v>
      </c>
      <c r="E58" s="34">
        <f>IF($B58="",0,VLOOKUP($B58,'Eingabe Einzelspieler'!$A$2:$P$124,E$1,FALSE))</f>
        <v>110</v>
      </c>
      <c r="F58" s="34">
        <f>IF($B58="",0,VLOOKUP($B58,'Eingabe Einzelspieler'!$A$2:$P$124,F$1,FALSE))</f>
        <v>100</v>
      </c>
      <c r="G58" s="34">
        <f>IF($B58="",0,VLOOKUP($B58,'Eingabe Einzelspieler'!$A$2:$P$124,G$1,FALSE))</f>
        <v>0</v>
      </c>
      <c r="H58" s="34">
        <f>IF($B58="",0,VLOOKUP($B58,'Eingabe Einzelspieler'!$A$2:$P$124,H$1,FALSE))</f>
        <v>0</v>
      </c>
      <c r="I58" s="34">
        <f>IF($B58="",0,VLOOKUP($B58,'Eingabe Einzelspieler'!$A$2:$P$124,I$1,FALSE))</f>
        <v>0</v>
      </c>
      <c r="J58" s="10">
        <f t="shared" si="56"/>
        <v>312</v>
      </c>
      <c r="K58" s="10">
        <f t="shared" si="57"/>
        <v>3</v>
      </c>
      <c r="L58" s="10">
        <f>IF($B58="",0,VLOOKUP($B58,'Eingabe Einzelspieler'!$A$2:$P$124,L$1,FALSE))</f>
        <v>0</v>
      </c>
      <c r="M58" s="10">
        <f>IF(('Eingabe Einzelspieler'!$I$125-1)&gt;K58,1,"")</f>
        <v>1</v>
      </c>
      <c r="N58" s="10">
        <f>IF('Eingabe Einzelspieler'!$I$125=1,0,IF(K58='Eingabe Einzelspieler'!$I$125,1,0))</f>
        <v>0</v>
      </c>
      <c r="O58" s="10">
        <f t="shared" si="58"/>
      </c>
      <c r="P58" s="10" t="str">
        <f t="shared" si="59"/>
        <v>ADW</v>
      </c>
      <c r="Q58" s="82">
        <f t="shared" si="60"/>
      </c>
      <c r="R58" s="83">
        <f t="shared" si="54"/>
        <v>100</v>
      </c>
      <c r="S58" s="83">
        <f>COUNTIF(R$44:R58,R58)</f>
        <v>1</v>
      </c>
      <c r="T58" s="83">
        <f t="shared" si="61"/>
        <v>100</v>
      </c>
      <c r="U58" s="88">
        <f t="shared" si="62"/>
        <v>2500.01</v>
      </c>
      <c r="V58" s="34">
        <f t="shared" si="63"/>
        <v>15</v>
      </c>
      <c r="W58" s="88">
        <f t="shared" si="55"/>
        <v>516.0015</v>
      </c>
      <c r="X58" s="83">
        <f t="shared" si="40"/>
        <v>8</v>
      </c>
      <c r="Y58" s="12">
        <f t="shared" si="64"/>
        <v>15</v>
      </c>
      <c r="Z58" s="50">
        <f t="shared" si="41"/>
        <v>0</v>
      </c>
      <c r="AA58" s="52" t="str">
        <f t="shared" si="42"/>
        <v>Rüger, D</v>
      </c>
      <c r="AB58" s="52" t="str">
        <f t="shared" si="42"/>
        <v>1.MSC Wesel</v>
      </c>
      <c r="AC58" s="12">
        <f t="shared" si="42"/>
        <v>516</v>
      </c>
      <c r="AD58" s="55">
        <f t="shared" si="42"/>
      </c>
      <c r="AE58" s="56">
        <f t="shared" si="42"/>
        <v>34.4</v>
      </c>
      <c r="AF58" s="12">
        <f t="shared" si="42"/>
        <v>107</v>
      </c>
      <c r="AG58" s="12">
        <f t="shared" si="42"/>
        <v>0</v>
      </c>
      <c r="AH58" s="12">
        <f t="shared" si="42"/>
        <v>102</v>
      </c>
      <c r="AI58" s="12">
        <f t="shared" si="42"/>
        <v>104</v>
      </c>
      <c r="AJ58" s="12">
        <f t="shared" si="42"/>
        <v>102</v>
      </c>
      <c r="AK58" s="12">
        <f t="shared" si="42"/>
        <v>101</v>
      </c>
    </row>
    <row r="59" spans="1:37" ht="12.75">
      <c r="A59" s="52">
        <v>16</v>
      </c>
      <c r="B59" s="14" t="str">
        <f>VLOOKUP($A59,'Eingabe Einzelspieler'!$M$2:$V$124,9,FALSE)</f>
        <v>Reh, B</v>
      </c>
      <c r="C59" s="14" t="str">
        <f>VLOOKUP($A59,'Eingabe Einzelspieler'!$M$2:$V$124,10,FALSE)</f>
        <v>MGC Neviges</v>
      </c>
      <c r="D59" s="34">
        <f>IF($B59="",0,VLOOKUP($B59,'Eingabe Einzelspieler'!$A$2:$P$124,D$1,FALSE))</f>
        <v>114</v>
      </c>
      <c r="E59" s="34">
        <f>IF($B59="",0,VLOOKUP($B59,'Eingabe Einzelspieler'!$A$2:$P$124,E$1,FALSE))</f>
        <v>92</v>
      </c>
      <c r="F59" s="34">
        <f>IF($B59="",0,VLOOKUP($B59,'Eingabe Einzelspieler'!$A$2:$P$124,F$1,FALSE))</f>
        <v>95</v>
      </c>
      <c r="G59" s="34">
        <f>IF($B59="",0,VLOOKUP($B59,'Eingabe Einzelspieler'!$A$2:$P$124,G$1,FALSE))</f>
        <v>105</v>
      </c>
      <c r="H59" s="34">
        <f>IF($B59="",0,VLOOKUP($B59,'Eingabe Einzelspieler'!$A$2:$P$124,H$1,FALSE))</f>
        <v>86</v>
      </c>
      <c r="I59" s="34">
        <f>IF($B59="",0,VLOOKUP($B59,'Eingabe Einzelspieler'!$A$2:$P$124,I$1,FALSE))</f>
        <v>97</v>
      </c>
      <c r="J59" s="10">
        <f t="shared" si="56"/>
        <v>589</v>
      </c>
      <c r="K59" s="10">
        <f t="shared" si="57"/>
        <v>6</v>
      </c>
      <c r="L59" s="10">
        <f>IF($B59="",0,VLOOKUP($B59,'Eingabe Einzelspieler'!$A$2:$P$124,L$1,FALSE))</f>
        <v>0</v>
      </c>
      <c r="M59" s="10">
        <f>IF(('Eingabe Einzelspieler'!$I$125-1)&gt;K59,1,"")</f>
      </c>
      <c r="N59" s="10">
        <f>IF('Eingabe Einzelspieler'!$I$125=1,0,IF(K59='Eingabe Einzelspieler'!$I$125,1,0))</f>
        <v>1</v>
      </c>
      <c r="O59" s="10">
        <f t="shared" si="58"/>
        <v>114</v>
      </c>
      <c r="P59" s="10">
        <f t="shared" si="59"/>
        <v>475</v>
      </c>
      <c r="Q59" s="82">
        <f t="shared" si="60"/>
        <v>31.666666666666668</v>
      </c>
      <c r="R59" s="83">
        <f t="shared" si="54"/>
        <v>7</v>
      </c>
      <c r="S59" s="83">
        <f>COUNTIF(R$44:R59,R59)</f>
        <v>1</v>
      </c>
      <c r="T59" s="83">
        <f t="shared" si="61"/>
        <v>7</v>
      </c>
      <c r="U59" s="88">
        <f t="shared" si="62"/>
        <v>475.0007</v>
      </c>
      <c r="V59" s="34">
        <f t="shared" si="63"/>
        <v>16</v>
      </c>
      <c r="W59" s="88">
        <f t="shared" si="55"/>
        <v>518.0016</v>
      </c>
      <c r="X59" s="83">
        <f t="shared" si="40"/>
        <v>3</v>
      </c>
      <c r="Y59" s="12">
        <f t="shared" si="64"/>
        <v>16</v>
      </c>
      <c r="Z59" s="50">
        <f t="shared" si="41"/>
        <v>0</v>
      </c>
      <c r="AA59" s="52" t="str">
        <f aca="true" t="shared" si="65" ref="AA59:AK62">VLOOKUP($X59,$A$44:$X$65,AA$1,FALSE)</f>
        <v>Dudziak, H</v>
      </c>
      <c r="AB59" s="52" t="str">
        <f t="shared" si="65"/>
        <v>1.MGC Gelsenkirchen</v>
      </c>
      <c r="AC59" s="12">
        <f t="shared" si="65"/>
        <v>518</v>
      </c>
      <c r="AD59" s="55">
        <f t="shared" si="65"/>
        <v>110</v>
      </c>
      <c r="AE59" s="56">
        <f t="shared" si="65"/>
        <v>34.53333333333333</v>
      </c>
      <c r="AF59" s="12">
        <f t="shared" si="65"/>
        <v>110</v>
      </c>
      <c r="AG59" s="12">
        <f t="shared" si="65"/>
        <v>110</v>
      </c>
      <c r="AH59" s="12">
        <f t="shared" si="65"/>
        <v>103</v>
      </c>
      <c r="AI59" s="12">
        <f t="shared" si="65"/>
        <v>100</v>
      </c>
      <c r="AJ59" s="12">
        <f t="shared" si="65"/>
        <v>104</v>
      </c>
      <c r="AK59" s="12">
        <f t="shared" si="65"/>
        <v>101</v>
      </c>
    </row>
    <row r="60" spans="1:37" ht="12.75">
      <c r="A60" s="52">
        <v>17</v>
      </c>
      <c r="B60" s="14" t="str">
        <f>VLOOKUP($A60,'Eingabe Einzelspieler'!$M$2:$V$124,9,FALSE)</f>
        <v>Tockner, F</v>
      </c>
      <c r="C60" s="14" t="str">
        <f>VLOOKUP($A60,'Eingabe Einzelspieler'!$M$2:$V$124,10,FALSE)</f>
        <v>MGC Neviges</v>
      </c>
      <c r="D60" s="34">
        <f>IF($B60="",0,VLOOKUP($B60,'Eingabe Einzelspieler'!$A$2:$P$124,D$1,FALSE))</f>
        <v>105</v>
      </c>
      <c r="E60" s="34">
        <f>IF($B60="",0,VLOOKUP($B60,'Eingabe Einzelspieler'!$A$2:$P$124,E$1,FALSE))</f>
        <v>95</v>
      </c>
      <c r="F60" s="34">
        <f>IF($B60="",0,VLOOKUP($B60,'Eingabe Einzelspieler'!$A$2:$P$124,F$1,FALSE))</f>
        <v>90</v>
      </c>
      <c r="G60" s="34">
        <f>IF($B60="",0,VLOOKUP($B60,'Eingabe Einzelspieler'!$A$2:$P$124,G$1,FALSE))</f>
        <v>97</v>
      </c>
      <c r="H60" s="34">
        <f>IF($B60="",0,VLOOKUP($B60,'Eingabe Einzelspieler'!$A$2:$P$124,H$1,FALSE))</f>
        <v>86</v>
      </c>
      <c r="I60" s="34">
        <f>IF($B60="",0,VLOOKUP($B60,'Eingabe Einzelspieler'!$A$2:$P$124,I$1,FALSE))</f>
        <v>0</v>
      </c>
      <c r="J60" s="10">
        <f t="shared" si="56"/>
        <v>473</v>
      </c>
      <c r="K60" s="10">
        <f t="shared" si="57"/>
        <v>5</v>
      </c>
      <c r="L60" s="10">
        <f>IF($B60="",0,VLOOKUP($B60,'Eingabe Einzelspieler'!$A$2:$P$124,L$1,FALSE))</f>
        <v>0</v>
      </c>
      <c r="M60" s="10">
        <f>IF(('Eingabe Einzelspieler'!$I$125-1)&gt;K60,1,"")</f>
      </c>
      <c r="N60" s="10">
        <f>IF('Eingabe Einzelspieler'!$I$125=1,0,IF(K60='Eingabe Einzelspieler'!$I$125,1,0))</f>
        <v>0</v>
      </c>
      <c r="O60" s="10">
        <f t="shared" si="58"/>
      </c>
      <c r="P60" s="10">
        <f t="shared" si="59"/>
        <v>473</v>
      </c>
      <c r="Q60" s="82">
        <f t="shared" si="60"/>
        <v>31.53333333333333</v>
      </c>
      <c r="R60" s="83">
        <f t="shared" si="54"/>
        <v>6</v>
      </c>
      <c r="S60" s="83">
        <f>COUNTIF(R$44:R60,R60)</f>
        <v>1</v>
      </c>
      <c r="T60" s="83">
        <f t="shared" si="61"/>
        <v>6</v>
      </c>
      <c r="U60" s="88">
        <f t="shared" si="62"/>
        <v>473.0006</v>
      </c>
      <c r="V60" s="34">
        <f t="shared" si="63"/>
        <v>17</v>
      </c>
      <c r="W60" s="88">
        <f t="shared" si="55"/>
        <v>519.0017</v>
      </c>
      <c r="X60" s="83">
        <f t="shared" si="40"/>
        <v>21</v>
      </c>
      <c r="Y60" s="12">
        <f t="shared" si="64"/>
        <v>17</v>
      </c>
      <c r="Z60" s="50">
        <f t="shared" si="41"/>
        <v>0</v>
      </c>
      <c r="AA60" s="52" t="str">
        <f t="shared" si="65"/>
        <v>Drechsler, K</v>
      </c>
      <c r="AB60" s="52" t="str">
        <f t="shared" si="65"/>
        <v>BGC Uerdingen</v>
      </c>
      <c r="AC60" s="12">
        <f t="shared" si="65"/>
        <v>519</v>
      </c>
      <c r="AD60" s="55">
        <f t="shared" si="65"/>
        <v>114</v>
      </c>
      <c r="AE60" s="56">
        <f t="shared" si="65"/>
        <v>34.6</v>
      </c>
      <c r="AF60" s="12">
        <f t="shared" si="65"/>
        <v>114</v>
      </c>
      <c r="AG60" s="12">
        <f t="shared" si="65"/>
        <v>104</v>
      </c>
      <c r="AH60" s="12">
        <f t="shared" si="65"/>
        <v>100</v>
      </c>
      <c r="AI60" s="12">
        <f t="shared" si="65"/>
        <v>101</v>
      </c>
      <c r="AJ60" s="12">
        <f t="shared" si="65"/>
        <v>104</v>
      </c>
      <c r="AK60" s="12">
        <f t="shared" si="65"/>
        <v>110</v>
      </c>
    </row>
    <row r="61" spans="1:37" ht="12.75">
      <c r="A61" s="52">
        <v>18</v>
      </c>
      <c r="B61" s="14" t="str">
        <f>VLOOKUP($A61,'Eingabe Einzelspieler'!$M$2:$V$124,9,FALSE)</f>
        <v>Rassler, G</v>
      </c>
      <c r="C61" s="14" t="str">
        <f>VLOOKUP($A61,'Eingabe Einzelspieler'!$M$2:$V$124,10,FALSE)</f>
        <v>MGC Neviges</v>
      </c>
      <c r="D61" s="34">
        <f>IF($B61="",0,VLOOKUP($B61,'Eingabe Einzelspieler'!$A$2:$P$124,D$1,FALSE))</f>
        <v>93</v>
      </c>
      <c r="E61" s="34">
        <f>IF($B61="",0,VLOOKUP($B61,'Eingabe Einzelspieler'!$A$2:$P$124,E$1,FALSE))</f>
        <v>108</v>
      </c>
      <c r="F61" s="34">
        <f>IF($B61="",0,VLOOKUP($B61,'Eingabe Einzelspieler'!$A$2:$P$124,F$1,FALSE))</f>
        <v>0</v>
      </c>
      <c r="G61" s="34">
        <f>IF($B61="",0,VLOOKUP($B61,'Eingabe Einzelspieler'!$A$2:$P$124,G$1,FALSE))</f>
        <v>102</v>
      </c>
      <c r="H61" s="34">
        <f>IF($B61="",0,VLOOKUP($B61,'Eingabe Einzelspieler'!$A$2:$P$124,H$1,FALSE))</f>
        <v>93</v>
      </c>
      <c r="I61" s="34">
        <f>IF($B61="",0,VLOOKUP($B61,'Eingabe Einzelspieler'!$A$2:$P$124,I$1,FALSE))</f>
        <v>98</v>
      </c>
      <c r="J61" s="10">
        <f>SUM(D61:I61)</f>
        <v>494</v>
      </c>
      <c r="K61" s="10">
        <f>COUNTIF(D61:I61,"&gt;0")</f>
        <v>5</v>
      </c>
      <c r="L61" s="10">
        <f>IF($B61="",0,VLOOKUP($B61,'Eingabe Einzelspieler'!$A$2:$P$124,L$1,FALSE))</f>
        <v>0</v>
      </c>
      <c r="M61" s="10">
        <f>IF(('Eingabe Einzelspieler'!$I$125-1)&gt;K61,1,"")</f>
      </c>
      <c r="N61" s="10">
        <f>IF('Eingabe Einzelspieler'!$I$125=1,0,IF(K61='Eingabe Einzelspieler'!$I$125,1,0))</f>
        <v>0</v>
      </c>
      <c r="O61" s="10">
        <f>IF(N61=1,LARGE(D61:I61,1),"")</f>
      </c>
      <c r="P61" s="10">
        <f>IF(M61=1,"ADW",IF(N61=1,SUM(J61-O61),J61))</f>
        <v>494</v>
      </c>
      <c r="Q61" s="82">
        <f>IF(J61=0,0,IF(AND(K61=1,N61=1),J61/3,IF(M61=1,"",IF(N61=0,P61/K61/3,P61/(K61-N61)/3))))</f>
        <v>32.93333333333333</v>
      </c>
      <c r="R61" s="83">
        <f>IF(M61=1,100,RANK(P61,$P$44:$P$65,1))</f>
        <v>10</v>
      </c>
      <c r="S61" s="83">
        <f>COUNTIF(R$44:R61,R61)</f>
        <v>1</v>
      </c>
      <c r="T61" s="83">
        <f>R61+S61-1</f>
        <v>10</v>
      </c>
      <c r="U61" s="88">
        <f>IF(M61=1,2500+(T61/10000),P61+(T61/10000)+(L61/10))</f>
        <v>494.001</v>
      </c>
      <c r="V61" s="34">
        <f>A61</f>
        <v>18</v>
      </c>
      <c r="W61" s="88">
        <f>SMALL(U$44:U$65,A61)</f>
        <v>520.0018</v>
      </c>
      <c r="X61" s="83">
        <f>VLOOKUP(W61,U$44:V$65,$X$1,FALSE)</f>
        <v>9</v>
      </c>
      <c r="Y61" s="12">
        <f>A61</f>
        <v>18</v>
      </c>
      <c r="Z61" s="50">
        <f t="shared" si="41"/>
        <v>0</v>
      </c>
      <c r="AA61" s="52" t="str">
        <f aca="true" t="shared" si="66" ref="AA61:AK65">VLOOKUP($X61,$A$44:$X$65,AA$1,FALSE)</f>
        <v>Rüger, Jos</v>
      </c>
      <c r="AB61" s="52" t="str">
        <f t="shared" si="66"/>
        <v>1.MSC Wesel</v>
      </c>
      <c r="AC61" s="12">
        <f t="shared" si="66"/>
        <v>520</v>
      </c>
      <c r="AD61" s="55">
        <f t="shared" si="66"/>
      </c>
      <c r="AE61" s="56">
        <f t="shared" si="66"/>
        <v>34.666666666666664</v>
      </c>
      <c r="AF61" s="12">
        <f t="shared" si="66"/>
        <v>107</v>
      </c>
      <c r="AG61" s="12">
        <f t="shared" si="66"/>
        <v>0</v>
      </c>
      <c r="AH61" s="12">
        <f t="shared" si="66"/>
        <v>104</v>
      </c>
      <c r="AI61" s="12">
        <f t="shared" si="66"/>
        <v>99</v>
      </c>
      <c r="AJ61" s="12">
        <f t="shared" si="66"/>
        <v>106</v>
      </c>
      <c r="AK61" s="12">
        <f t="shared" si="66"/>
        <v>104</v>
      </c>
    </row>
    <row r="62" spans="1:37" ht="12.75">
      <c r="A62" s="52">
        <v>19</v>
      </c>
      <c r="B62" s="14" t="str">
        <f>VLOOKUP($A62,'Eingabe Einzelspieler'!$M$2:$V$124,9,FALSE)</f>
        <v>Stachowitz, H</v>
      </c>
      <c r="C62" s="14" t="str">
        <f>VLOOKUP($A62,'Eingabe Einzelspieler'!$M$2:$V$124,10,FALSE)</f>
        <v>BGC Uerdingen</v>
      </c>
      <c r="D62" s="34">
        <f>IF($B62="",0,VLOOKUP($B62,'Eingabe Einzelspieler'!$A$2:$P$124,D$1,FALSE))</f>
        <v>117</v>
      </c>
      <c r="E62" s="34">
        <f>IF($B62="",0,VLOOKUP($B62,'Eingabe Einzelspieler'!$A$2:$P$124,E$1,FALSE))</f>
        <v>88</v>
      </c>
      <c r="F62" s="34">
        <f>IF($B62="",0,VLOOKUP($B62,'Eingabe Einzelspieler'!$A$2:$P$124,F$1,FALSE))</f>
        <v>0</v>
      </c>
      <c r="G62" s="34">
        <f>IF($B62="",0,VLOOKUP($B62,'Eingabe Einzelspieler'!$A$2:$P$124,G$1,FALSE))</f>
        <v>101</v>
      </c>
      <c r="H62" s="34">
        <f>IF($B62="",0,VLOOKUP($B62,'Eingabe Einzelspieler'!$A$2:$P$124,H$1,FALSE))</f>
        <v>108</v>
      </c>
      <c r="I62" s="34">
        <f>IF($B62="",0,VLOOKUP($B62,'Eingabe Einzelspieler'!$A$2:$P$124,I$1,FALSE))</f>
        <v>106</v>
      </c>
      <c r="J62" s="10">
        <f t="shared" si="56"/>
        <v>520</v>
      </c>
      <c r="K62" s="10">
        <f t="shared" si="57"/>
        <v>5</v>
      </c>
      <c r="L62" s="10">
        <f>IF($B62="",0,VLOOKUP($B62,'Eingabe Einzelspieler'!$A$2:$P$124,L$1,FALSE))</f>
        <v>0</v>
      </c>
      <c r="M62" s="10">
        <f>IF(('Eingabe Einzelspieler'!$I$125-1)&gt;K62,1,"")</f>
      </c>
      <c r="N62" s="10">
        <f>IF('Eingabe Einzelspieler'!$I$125=1,0,IF(K62='Eingabe Einzelspieler'!$I$125,1,0))</f>
        <v>0</v>
      </c>
      <c r="O62" s="10">
        <f t="shared" si="58"/>
      </c>
      <c r="P62" s="10">
        <f t="shared" si="59"/>
        <v>520</v>
      </c>
      <c r="Q62" s="82">
        <f t="shared" si="60"/>
        <v>34.666666666666664</v>
      </c>
      <c r="R62" s="83">
        <f t="shared" si="54"/>
        <v>18</v>
      </c>
      <c r="S62" s="83">
        <f>COUNTIF(R$44:R62,R62)</f>
        <v>2</v>
      </c>
      <c r="T62" s="83">
        <f t="shared" si="61"/>
        <v>19</v>
      </c>
      <c r="U62" s="88">
        <f t="shared" si="62"/>
        <v>520.0019</v>
      </c>
      <c r="V62" s="34">
        <f t="shared" si="63"/>
        <v>19</v>
      </c>
      <c r="W62" s="88">
        <f t="shared" si="55"/>
        <v>520.0019</v>
      </c>
      <c r="X62" s="83">
        <f t="shared" si="40"/>
        <v>19</v>
      </c>
      <c r="Y62" s="12">
        <f t="shared" si="64"/>
        <v>19</v>
      </c>
      <c r="Z62" s="50">
        <f t="shared" si="41"/>
        <v>0</v>
      </c>
      <c r="AA62" s="52" t="str">
        <f t="shared" si="65"/>
        <v>Stachowitz, H</v>
      </c>
      <c r="AB62" s="52" t="str">
        <f t="shared" si="65"/>
        <v>BGC Uerdingen</v>
      </c>
      <c r="AC62" s="12">
        <f t="shared" si="65"/>
        <v>520</v>
      </c>
      <c r="AD62" s="55">
        <f t="shared" si="65"/>
      </c>
      <c r="AE62" s="56">
        <f t="shared" si="65"/>
        <v>34.666666666666664</v>
      </c>
      <c r="AF62" s="12">
        <f t="shared" si="65"/>
        <v>117</v>
      </c>
      <c r="AG62" s="12">
        <f t="shared" si="65"/>
        <v>88</v>
      </c>
      <c r="AH62" s="12">
        <f t="shared" si="65"/>
        <v>0</v>
      </c>
      <c r="AI62" s="12">
        <f t="shared" si="65"/>
        <v>101</v>
      </c>
      <c r="AJ62" s="12">
        <f t="shared" si="65"/>
        <v>108</v>
      </c>
      <c r="AK62" s="12">
        <f t="shared" si="65"/>
        <v>106</v>
      </c>
    </row>
    <row r="63" spans="1:37" ht="12.75">
      <c r="A63" s="52">
        <v>20</v>
      </c>
      <c r="B63" s="14" t="str">
        <f>VLOOKUP($A63,'Eingabe Einzelspieler'!$M$2:$V$124,9,FALSE)</f>
        <v>Ramb, W</v>
      </c>
      <c r="C63" s="14" t="str">
        <f>VLOOKUP($A63,'Eingabe Einzelspieler'!$M$2:$V$124,10,FALSE)</f>
        <v>BGC Uerdingen</v>
      </c>
      <c r="D63" s="34">
        <f>IF($B63="",0,VLOOKUP($B63,'Eingabe Einzelspieler'!$A$2:$P$124,D$1,FALSE))</f>
        <v>108</v>
      </c>
      <c r="E63" s="34">
        <f>IF($B63="",0,VLOOKUP($B63,'Eingabe Einzelspieler'!$A$2:$P$124,E$1,FALSE))</f>
        <v>101</v>
      </c>
      <c r="F63" s="34">
        <f>IF($B63="",0,VLOOKUP($B63,'Eingabe Einzelspieler'!$A$2:$P$124,F$1,FALSE))</f>
        <v>109</v>
      </c>
      <c r="G63" s="34">
        <f>IF($B63="",0,VLOOKUP($B63,'Eingabe Einzelspieler'!$A$2:$P$124,G$1,FALSE))</f>
        <v>96</v>
      </c>
      <c r="H63" s="34">
        <f>IF($B63="",0,VLOOKUP($B63,'Eingabe Einzelspieler'!$A$2:$P$124,H$1,FALSE))</f>
        <v>103</v>
      </c>
      <c r="I63" s="34">
        <f>IF($B63="",0,VLOOKUP($B63,'Eingabe Einzelspieler'!$A$2:$P$124,I$1,FALSE))</f>
        <v>99</v>
      </c>
      <c r="J63" s="10">
        <f>SUM(D63:I63)</f>
        <v>616</v>
      </c>
      <c r="K63" s="10">
        <f>COUNTIF(D63:I63,"&gt;0")</f>
        <v>6</v>
      </c>
      <c r="L63" s="10">
        <f>IF($B63="",0,VLOOKUP($B63,'Eingabe Einzelspieler'!$A$2:$P$124,L$1,FALSE))</f>
        <v>0</v>
      </c>
      <c r="M63" s="10">
        <f>IF(('Eingabe Einzelspieler'!$I$125-1)&gt;K63,1,"")</f>
      </c>
      <c r="N63" s="10">
        <f>IF('Eingabe Einzelspieler'!$I$125=1,0,IF(K63='Eingabe Einzelspieler'!$I$125,1,0))</f>
        <v>1</v>
      </c>
      <c r="O63" s="10">
        <f>IF(N63=1,LARGE(D63:I63,1),"")</f>
        <v>109</v>
      </c>
      <c r="P63" s="10">
        <f>IF(M63=1,"ADW",IF(N63=1,SUM(J63-O63),J63))</f>
        <v>507</v>
      </c>
      <c r="Q63" s="82">
        <f>IF(J63=0,0,IF(AND(K63=1,N63=1),J63/3,IF(M63=1,"",IF(N63=0,P63/K63/3,P63/(K63-N63)/3))))</f>
        <v>33.800000000000004</v>
      </c>
      <c r="R63" s="83">
        <f>IF(M63=1,100,RANK(P63,$P$44:$P$65,1))</f>
        <v>12</v>
      </c>
      <c r="S63" s="83">
        <f>COUNTIF(R$44:R63,R63)</f>
        <v>1</v>
      </c>
      <c r="T63" s="83">
        <f>R63+S63-1</f>
        <v>12</v>
      </c>
      <c r="U63" s="88">
        <f>IF(M63=1,2500+(T63/10000),P63+(T63/10000)+(L63/10))</f>
        <v>507.0012</v>
      </c>
      <c r="V63" s="34">
        <f>A63</f>
        <v>20</v>
      </c>
      <c r="W63" s="88">
        <f>SMALL(U$44:U$65,A63)</f>
        <v>538.002</v>
      </c>
      <c r="X63" s="83">
        <f>VLOOKUP(W63,U$44:V$65,$X$1,FALSE)</f>
        <v>7</v>
      </c>
      <c r="Y63" s="12">
        <f>A63</f>
        <v>20</v>
      </c>
      <c r="Z63" s="50">
        <f t="shared" si="41"/>
        <v>0</v>
      </c>
      <c r="AA63" s="52" t="str">
        <f t="shared" si="66"/>
        <v>Heinrich, W</v>
      </c>
      <c r="AB63" s="52" t="str">
        <f t="shared" si="66"/>
        <v>1.MSC Wesel</v>
      </c>
      <c r="AC63" s="12">
        <f t="shared" si="66"/>
        <v>538</v>
      </c>
      <c r="AD63" s="55">
        <f t="shared" si="66"/>
        <v>117</v>
      </c>
      <c r="AE63" s="56">
        <f t="shared" si="66"/>
        <v>35.86666666666667</v>
      </c>
      <c r="AF63" s="12">
        <f t="shared" si="66"/>
        <v>113</v>
      </c>
      <c r="AG63" s="12">
        <f t="shared" si="66"/>
        <v>115</v>
      </c>
      <c r="AH63" s="12">
        <f t="shared" si="66"/>
        <v>108</v>
      </c>
      <c r="AI63" s="12">
        <f t="shared" si="66"/>
        <v>104</v>
      </c>
      <c r="AJ63" s="12">
        <f t="shared" si="66"/>
        <v>117</v>
      </c>
      <c r="AK63" s="12">
        <f t="shared" si="66"/>
        <v>98</v>
      </c>
    </row>
    <row r="64" spans="1:37" ht="12.75" hidden="1">
      <c r="A64" s="52">
        <v>21</v>
      </c>
      <c r="B64" s="14" t="str">
        <f>VLOOKUP($A64,'Eingabe Einzelspieler'!$M$2:$V$124,9,FALSE)</f>
        <v>Drechsler, K</v>
      </c>
      <c r="C64" s="14" t="str">
        <f>VLOOKUP($A64,'Eingabe Einzelspieler'!$M$2:$V$124,10,FALSE)</f>
        <v>BGC Uerdingen</v>
      </c>
      <c r="D64" s="34">
        <f>IF($B64="",0,VLOOKUP($B64,'Eingabe Einzelspieler'!$A$2:$P$124,D$1,FALSE))</f>
        <v>114</v>
      </c>
      <c r="E64" s="34">
        <f>IF($B64="",0,VLOOKUP($B64,'Eingabe Einzelspieler'!$A$2:$P$124,E$1,FALSE))</f>
        <v>104</v>
      </c>
      <c r="F64" s="34">
        <f>IF($B64="",0,VLOOKUP($B64,'Eingabe Einzelspieler'!$A$2:$P$124,F$1,FALSE))</f>
        <v>100</v>
      </c>
      <c r="G64" s="34">
        <f>IF($B64="",0,VLOOKUP($B64,'Eingabe Einzelspieler'!$A$2:$P$124,G$1,FALSE))</f>
        <v>101</v>
      </c>
      <c r="H64" s="34">
        <f>IF($B64="",0,VLOOKUP($B64,'Eingabe Einzelspieler'!$A$2:$P$124,H$1,FALSE))</f>
        <v>104</v>
      </c>
      <c r="I64" s="34">
        <f>IF($B64="",0,VLOOKUP($B64,'Eingabe Einzelspieler'!$A$2:$P$124,I$1,FALSE))</f>
        <v>110</v>
      </c>
      <c r="J64" s="10">
        <f t="shared" si="56"/>
        <v>633</v>
      </c>
      <c r="K64" s="10">
        <f t="shared" si="57"/>
        <v>6</v>
      </c>
      <c r="L64" s="10">
        <f>IF($B64="",0,VLOOKUP($B64,'Eingabe Einzelspieler'!$A$2:$P$124,L$1,FALSE))</f>
        <v>0</v>
      </c>
      <c r="M64" s="10">
        <f>IF(('Eingabe Einzelspieler'!$I$125-1)&gt;K64,1,"")</f>
      </c>
      <c r="N64" s="10">
        <f>IF('Eingabe Einzelspieler'!$I$125=1,0,IF(K64='Eingabe Einzelspieler'!$I$125,1,0))</f>
        <v>1</v>
      </c>
      <c r="O64" s="10">
        <f t="shared" si="58"/>
        <v>114</v>
      </c>
      <c r="P64" s="10">
        <f t="shared" si="59"/>
        <v>519</v>
      </c>
      <c r="Q64" s="82">
        <f t="shared" si="60"/>
        <v>34.6</v>
      </c>
      <c r="R64" s="83">
        <f t="shared" si="54"/>
        <v>17</v>
      </c>
      <c r="S64" s="83">
        <f>COUNTIF(R$44:R64,R64)</f>
        <v>1</v>
      </c>
      <c r="T64" s="83">
        <f t="shared" si="61"/>
        <v>17</v>
      </c>
      <c r="U64" s="88">
        <f t="shared" si="62"/>
        <v>519.0017</v>
      </c>
      <c r="V64" s="34">
        <f t="shared" si="63"/>
        <v>21</v>
      </c>
      <c r="W64" s="88">
        <f t="shared" si="55"/>
        <v>2500.01</v>
      </c>
      <c r="X64" s="83">
        <f t="shared" si="40"/>
        <v>15</v>
      </c>
      <c r="Y64" s="12">
        <f t="shared" si="64"/>
        <v>21</v>
      </c>
      <c r="Z64" s="50">
        <f t="shared" si="41"/>
        <v>0</v>
      </c>
      <c r="AA64" s="52" t="str">
        <f t="shared" si="66"/>
        <v>Falterbaum, J</v>
      </c>
      <c r="AB64" s="52" t="str">
        <f t="shared" si="66"/>
        <v>MGC Neviges</v>
      </c>
      <c r="AC64" s="12" t="str">
        <f t="shared" si="66"/>
        <v>ADW</v>
      </c>
      <c r="AD64" s="55">
        <f t="shared" si="66"/>
      </c>
      <c r="AE64" s="56">
        <f t="shared" si="66"/>
      </c>
      <c r="AF64" s="12">
        <f t="shared" si="66"/>
        <v>102</v>
      </c>
      <c r="AG64" s="12">
        <f t="shared" si="66"/>
        <v>110</v>
      </c>
      <c r="AH64" s="12">
        <f t="shared" si="66"/>
        <v>100</v>
      </c>
      <c r="AI64" s="12">
        <f t="shared" si="66"/>
        <v>0</v>
      </c>
      <c r="AJ64" s="12">
        <f t="shared" si="66"/>
        <v>0</v>
      </c>
      <c r="AK64" s="12">
        <f t="shared" si="66"/>
        <v>0</v>
      </c>
    </row>
    <row r="65" spans="1:37" ht="12.75" hidden="1">
      <c r="A65" s="52">
        <v>22</v>
      </c>
      <c r="B65" s="14" t="str">
        <f>VLOOKUP($A65,'Eingabe Einzelspieler'!$M$2:$V$124,9,FALSE)</f>
        <v>Gremm, D</v>
      </c>
      <c r="C65" s="14" t="str">
        <f>VLOOKUP($A65,'Eingabe Einzelspieler'!$M$2:$V$124,10,FALSE)</f>
        <v>BGC Uerdingen</v>
      </c>
      <c r="D65" s="34">
        <f>IF($B65="",0,VLOOKUP($B65,'Eingabe Einzelspieler'!$A$2:$P$124,D$1,FALSE))</f>
        <v>0</v>
      </c>
      <c r="E65" s="34">
        <f>IF($B65="",0,VLOOKUP($B65,'Eingabe Einzelspieler'!$A$2:$P$124,E$1,FALSE))</f>
        <v>0</v>
      </c>
      <c r="F65" s="34">
        <f>IF($B65="",0,VLOOKUP($B65,'Eingabe Einzelspieler'!$A$2:$P$124,F$1,FALSE))</f>
        <v>0</v>
      </c>
      <c r="G65" s="34">
        <f>IF($B65="",0,VLOOKUP($B65,'Eingabe Einzelspieler'!$A$2:$P$124,G$1,FALSE))</f>
        <v>95</v>
      </c>
      <c r="H65" s="34">
        <f>IF($B65="",0,VLOOKUP($B65,'Eingabe Einzelspieler'!$A$2:$P$124,H$1,FALSE))</f>
        <v>100</v>
      </c>
      <c r="I65" s="34">
        <f>IF($B65="",0,VLOOKUP($B65,'Eingabe Einzelspieler'!$A$2:$P$124,I$1,FALSE))</f>
        <v>89</v>
      </c>
      <c r="J65" s="10">
        <f t="shared" si="56"/>
        <v>284</v>
      </c>
      <c r="K65" s="10">
        <f t="shared" si="57"/>
        <v>3</v>
      </c>
      <c r="L65" s="10">
        <f>IF($B65="",0,VLOOKUP($B65,'Eingabe Einzelspieler'!$A$2:$P$124,L$1,FALSE))</f>
        <v>0</v>
      </c>
      <c r="M65" s="10">
        <f>IF(('Eingabe Einzelspieler'!$I$125-1)&gt;K65,1,"")</f>
        <v>1</v>
      </c>
      <c r="N65" s="10">
        <f>IF('Eingabe Einzelspieler'!$I$125=1,0,IF(K65='Eingabe Einzelspieler'!$I$125,1,0))</f>
        <v>0</v>
      </c>
      <c r="O65" s="10">
        <f t="shared" si="58"/>
      </c>
      <c r="P65" s="10" t="str">
        <f t="shared" si="59"/>
        <v>ADW</v>
      </c>
      <c r="Q65" s="82">
        <f t="shared" si="60"/>
      </c>
      <c r="R65" s="83">
        <f t="shared" si="54"/>
        <v>100</v>
      </c>
      <c r="S65" s="83">
        <f>COUNTIF(R$44:R65,R65)</f>
        <v>2</v>
      </c>
      <c r="T65" s="83">
        <f t="shared" si="61"/>
        <v>101</v>
      </c>
      <c r="U65" s="88">
        <f t="shared" si="62"/>
        <v>2500.0101</v>
      </c>
      <c r="V65" s="34">
        <f t="shared" si="63"/>
        <v>22</v>
      </c>
      <c r="W65" s="88">
        <f t="shared" si="55"/>
        <v>2500.0101</v>
      </c>
      <c r="X65" s="83">
        <f t="shared" si="40"/>
        <v>22</v>
      </c>
      <c r="Y65" s="12">
        <f t="shared" si="64"/>
        <v>22</v>
      </c>
      <c r="Z65" s="50">
        <f t="shared" si="41"/>
        <v>0</v>
      </c>
      <c r="AA65" s="52" t="str">
        <f t="shared" si="66"/>
        <v>Gremm, D</v>
      </c>
      <c r="AB65" s="52" t="str">
        <f t="shared" si="66"/>
        <v>BGC Uerdingen</v>
      </c>
      <c r="AC65" s="12" t="str">
        <f t="shared" si="66"/>
        <v>ADW</v>
      </c>
      <c r="AD65" s="55">
        <f t="shared" si="66"/>
      </c>
      <c r="AE65" s="56">
        <f t="shared" si="66"/>
      </c>
      <c r="AF65" s="12">
        <f t="shared" si="66"/>
        <v>0</v>
      </c>
      <c r="AG65" s="12">
        <f t="shared" si="66"/>
        <v>0</v>
      </c>
      <c r="AH65" s="12">
        <f t="shared" si="66"/>
        <v>0</v>
      </c>
      <c r="AI65" s="12">
        <f t="shared" si="66"/>
        <v>95</v>
      </c>
      <c r="AJ65" s="12">
        <f t="shared" si="66"/>
        <v>100</v>
      </c>
      <c r="AK65" s="12">
        <f t="shared" si="66"/>
        <v>89</v>
      </c>
    </row>
    <row r="66" ht="12.75">
      <c r="W66" s="89"/>
    </row>
    <row r="67" spans="2:26" ht="12.75">
      <c r="B67" s="87" t="s">
        <v>40</v>
      </c>
      <c r="W67" s="89"/>
      <c r="Y67" s="64" t="str">
        <f>B67</f>
        <v>Senioren weiblich I</v>
      </c>
      <c r="Z67" s="79"/>
    </row>
    <row r="68" spans="1:37" ht="12.75">
      <c r="A68" s="52">
        <v>1</v>
      </c>
      <c r="B68" s="14" t="str">
        <f>VLOOKUP($A68,'Eingabe Einzelspieler'!$N$2:$V$124,8,FALSE)</f>
        <v>Bähtz, M</v>
      </c>
      <c r="C68" s="14" t="str">
        <f>VLOOKUP($A68,'Eingabe Einzelspieler'!$N$2:$V$124,9,FALSE)</f>
        <v>MGC "AS" Witten</v>
      </c>
      <c r="D68" s="34">
        <f>IF($B68="",0,VLOOKUP($B68,'Eingabe Einzelspieler'!$A$2:$P$124,D$1,FALSE))</f>
        <v>117</v>
      </c>
      <c r="E68" s="34">
        <f>IF($B68="",0,VLOOKUP($B68,'Eingabe Einzelspieler'!$A$2:$P$124,E$1,FALSE))</f>
        <v>0</v>
      </c>
      <c r="F68" s="34">
        <f>IF($B68="",0,VLOOKUP($B68,'Eingabe Einzelspieler'!$A$2:$P$124,F$1,FALSE))</f>
        <v>112</v>
      </c>
      <c r="G68" s="34">
        <f>IF($B68="",0,VLOOKUP($B68,'Eingabe Einzelspieler'!$A$2:$P$124,G$1,FALSE))</f>
        <v>121</v>
      </c>
      <c r="H68" s="34">
        <f>IF($B68="",0,VLOOKUP($B68,'Eingabe Einzelspieler'!$A$2:$P$124,H$1,FALSE))</f>
        <v>100</v>
      </c>
      <c r="I68" s="34">
        <f>IF($B68="",0,VLOOKUP($B68,'Eingabe Einzelspieler'!$A$2:$P$124,I$1,FALSE))</f>
        <v>114</v>
      </c>
      <c r="J68" s="10">
        <f aca="true" t="shared" si="67" ref="J68:J80">SUM(D68:I68)</f>
        <v>564</v>
      </c>
      <c r="K68" s="10">
        <f aca="true" t="shared" si="68" ref="K68:K80">COUNTIF(D68:I68,"&gt;0")</f>
        <v>5</v>
      </c>
      <c r="L68" s="10">
        <f>IF($B68="",0,VLOOKUP($B68,'Eingabe Einzelspieler'!$A$2:$P$124,L$1,FALSE))</f>
        <v>0</v>
      </c>
      <c r="M68" s="10">
        <f>IF(('Eingabe Einzelspieler'!$I$125-1)&gt;K68,1,"")</f>
      </c>
      <c r="N68" s="10">
        <f>IF('Eingabe Einzelspieler'!$I$125=1,0,IF(K68='Eingabe Einzelspieler'!$I$125,1,0))</f>
        <v>0</v>
      </c>
      <c r="O68" s="10">
        <f aca="true" t="shared" si="69" ref="O68:O80">IF(N68=1,LARGE(D68:I68,1),"")</f>
      </c>
      <c r="P68" s="10">
        <f aca="true" t="shared" si="70" ref="P68:P80">IF(M68=1,"ADW",IF(N68=1,SUM(J68-O68),J68))</f>
        <v>564</v>
      </c>
      <c r="Q68" s="82">
        <f aca="true" t="shared" si="71" ref="Q68:Q80">IF(J68=0,0,IF(AND(K68=1,N68=1),J68/3,IF(M68=1,"",IF(N68=0,P68/K68/3,P68/(K68-N68)/3))))</f>
        <v>37.6</v>
      </c>
      <c r="R68" s="83">
        <f aca="true" t="shared" si="72" ref="R68:R80">IF(M68=1,100,RANK(P68,$P$68:$P$80,1))</f>
        <v>11</v>
      </c>
      <c r="S68" s="83">
        <f>COUNTIF(R$68:R68,R68)</f>
        <v>1</v>
      </c>
      <c r="T68" s="83">
        <f aca="true" t="shared" si="73" ref="T68:T80">R68+S68-1</f>
        <v>11</v>
      </c>
      <c r="U68" s="88">
        <f aca="true" t="shared" si="74" ref="U68:U80">IF(M68=1,2500+(T68/10000),P68+(T68/10000)+(L68/10))</f>
        <v>564.0011</v>
      </c>
      <c r="V68" s="34">
        <f aca="true" t="shared" si="75" ref="V68:V80">A68</f>
        <v>1</v>
      </c>
      <c r="W68" s="88">
        <f aca="true" t="shared" si="76" ref="W68:W80">SMALL(U$68:U$80,A68)</f>
        <v>450.0001</v>
      </c>
      <c r="X68" s="83">
        <f aca="true" t="shared" si="77" ref="X68:X80">VLOOKUP(W68,U$68:V$80,$X$1,FALSE)</f>
        <v>2</v>
      </c>
      <c r="Y68" s="12">
        <f aca="true" t="shared" si="78" ref="Y68:Y80">A68</f>
        <v>1</v>
      </c>
      <c r="Z68" s="50">
        <f aca="true" t="shared" si="79" ref="Z68:Z80">IF(VLOOKUP($X68,$A$68:$X$80,Z$1,FALSE)&gt;0,"x",0)</f>
        <v>0</v>
      </c>
      <c r="AA68" s="101" t="str">
        <f aca="true" t="shared" si="80" ref="AA68:AK72">VLOOKUP($X68,$A$68:$X$80,AA$1,FALSE)</f>
        <v>Endberg, C</v>
      </c>
      <c r="AB68" s="101" t="str">
        <f t="shared" si="80"/>
        <v>MGC "AS" Witten</v>
      </c>
      <c r="AC68" s="102">
        <f t="shared" si="80"/>
        <v>450</v>
      </c>
      <c r="AD68" s="55">
        <f t="shared" si="80"/>
        <v>98</v>
      </c>
      <c r="AE68" s="56">
        <f t="shared" si="80"/>
        <v>30</v>
      </c>
      <c r="AF68" s="12">
        <f t="shared" si="80"/>
        <v>92</v>
      </c>
      <c r="AG68" s="12">
        <f t="shared" si="80"/>
        <v>91</v>
      </c>
      <c r="AH68" s="12">
        <f t="shared" si="80"/>
        <v>98</v>
      </c>
      <c r="AI68" s="12">
        <f t="shared" si="80"/>
        <v>87</v>
      </c>
      <c r="AJ68" s="12">
        <f t="shared" si="80"/>
        <v>90</v>
      </c>
      <c r="AK68" s="12">
        <f t="shared" si="80"/>
        <v>90</v>
      </c>
    </row>
    <row r="69" spans="1:37" ht="12.75">
      <c r="A69" s="52">
        <v>2</v>
      </c>
      <c r="B69" s="14" t="str">
        <f>VLOOKUP($A69,'Eingabe Einzelspieler'!$N$2:$V$124,8,FALSE)</f>
        <v>Endberg, C</v>
      </c>
      <c r="C69" s="14" t="str">
        <f>VLOOKUP($A69,'Eingabe Einzelspieler'!$N$2:$V$124,9,FALSE)</f>
        <v>MGC "AS" Witten</v>
      </c>
      <c r="D69" s="34">
        <f>IF($B69="",0,VLOOKUP($B69,'Eingabe Einzelspieler'!$A$2:$P$124,D$1,FALSE))</f>
        <v>92</v>
      </c>
      <c r="E69" s="34">
        <f>IF($B69="",0,VLOOKUP($B69,'Eingabe Einzelspieler'!$A$2:$P$124,E$1,FALSE))</f>
        <v>91</v>
      </c>
      <c r="F69" s="34">
        <f>IF($B69="",0,VLOOKUP($B69,'Eingabe Einzelspieler'!$A$2:$P$124,F$1,FALSE))</f>
        <v>98</v>
      </c>
      <c r="G69" s="34">
        <f>IF($B69="",0,VLOOKUP($B69,'Eingabe Einzelspieler'!$A$2:$P$124,G$1,FALSE))</f>
        <v>87</v>
      </c>
      <c r="H69" s="34">
        <f>IF($B69="",0,VLOOKUP($B69,'Eingabe Einzelspieler'!$A$2:$P$124,H$1,FALSE))</f>
        <v>90</v>
      </c>
      <c r="I69" s="34">
        <f>IF($B69="",0,VLOOKUP($B69,'Eingabe Einzelspieler'!$A$2:$P$124,I$1,FALSE))</f>
        <v>90</v>
      </c>
      <c r="J69" s="10">
        <f t="shared" si="67"/>
        <v>548</v>
      </c>
      <c r="K69" s="10">
        <f t="shared" si="68"/>
        <v>6</v>
      </c>
      <c r="L69" s="10">
        <f>IF($B69="",0,VLOOKUP($B69,'Eingabe Einzelspieler'!$A$2:$P$124,L$1,FALSE))</f>
        <v>0</v>
      </c>
      <c r="M69" s="10">
        <f>IF(('Eingabe Einzelspieler'!$I$125-1)&gt;K69,1,"")</f>
      </c>
      <c r="N69" s="10">
        <f>IF('Eingabe Einzelspieler'!$I$125=1,0,IF(K69='Eingabe Einzelspieler'!$I$125,1,0))</f>
        <v>1</v>
      </c>
      <c r="O69" s="10">
        <f t="shared" si="69"/>
        <v>98</v>
      </c>
      <c r="P69" s="10">
        <f t="shared" si="70"/>
        <v>450</v>
      </c>
      <c r="Q69" s="82">
        <f t="shared" si="71"/>
        <v>30</v>
      </c>
      <c r="R69" s="83">
        <f t="shared" si="72"/>
        <v>1</v>
      </c>
      <c r="S69" s="83">
        <f>COUNTIF(R$68:R69,R69)</f>
        <v>1</v>
      </c>
      <c r="T69" s="83">
        <f t="shared" si="73"/>
        <v>1</v>
      </c>
      <c r="U69" s="88">
        <f t="shared" si="74"/>
        <v>450.0001</v>
      </c>
      <c r="V69" s="34">
        <f t="shared" si="75"/>
        <v>2</v>
      </c>
      <c r="W69" s="88">
        <f t="shared" si="76"/>
        <v>476.0002</v>
      </c>
      <c r="X69" s="83">
        <f t="shared" si="77"/>
        <v>9</v>
      </c>
      <c r="Y69" s="12">
        <f t="shared" si="78"/>
        <v>2</v>
      </c>
      <c r="Z69" s="50">
        <f t="shared" si="79"/>
        <v>0</v>
      </c>
      <c r="AA69" s="52" t="str">
        <f t="shared" si="80"/>
        <v>Kampmann, U</v>
      </c>
      <c r="AB69" s="52" t="str">
        <f t="shared" si="80"/>
        <v>MGC Neviges</v>
      </c>
      <c r="AC69" s="12">
        <f t="shared" si="80"/>
        <v>476</v>
      </c>
      <c r="AD69" s="55">
        <f t="shared" si="80"/>
        <v>104</v>
      </c>
      <c r="AE69" s="56">
        <f t="shared" si="80"/>
        <v>31.733333333333334</v>
      </c>
      <c r="AF69" s="12">
        <f t="shared" si="80"/>
        <v>99</v>
      </c>
      <c r="AG69" s="12">
        <f t="shared" si="80"/>
        <v>95</v>
      </c>
      <c r="AH69" s="12">
        <f t="shared" si="80"/>
        <v>95</v>
      </c>
      <c r="AI69" s="12">
        <f t="shared" si="80"/>
        <v>104</v>
      </c>
      <c r="AJ69" s="12">
        <f t="shared" si="80"/>
        <v>86</v>
      </c>
      <c r="AK69" s="12">
        <f t="shared" si="80"/>
        <v>101</v>
      </c>
    </row>
    <row r="70" spans="1:37" ht="12.75">
      <c r="A70" s="52">
        <v>3</v>
      </c>
      <c r="B70" s="14" t="str">
        <f>VLOOKUP($A70,'Eingabe Einzelspieler'!$N$2:$V$124,8,FALSE)</f>
        <v>Lange, M</v>
      </c>
      <c r="C70" s="14" t="str">
        <f>VLOOKUP($A70,'Eingabe Einzelspieler'!$N$2:$V$124,9,FALSE)</f>
        <v>MGC "AS" Witten</v>
      </c>
      <c r="D70" s="34">
        <f>IF($B70="",0,VLOOKUP($B70,'Eingabe Einzelspieler'!$A$2:$P$124,D$1,FALSE))</f>
        <v>101</v>
      </c>
      <c r="E70" s="34">
        <f>IF($B70="",0,VLOOKUP($B70,'Eingabe Einzelspieler'!$A$2:$P$124,E$1,FALSE))</f>
        <v>102</v>
      </c>
      <c r="F70" s="34">
        <f>IF($B70="",0,VLOOKUP($B70,'Eingabe Einzelspieler'!$A$2:$P$124,F$1,FALSE))</f>
        <v>114</v>
      </c>
      <c r="G70" s="34">
        <f>IF($B70="",0,VLOOKUP($B70,'Eingabe Einzelspieler'!$A$2:$P$124,G$1,FALSE))</f>
        <v>105</v>
      </c>
      <c r="H70" s="34">
        <f>IF($B70="",0,VLOOKUP($B70,'Eingabe Einzelspieler'!$A$2:$P$124,H$1,FALSE))</f>
        <v>109</v>
      </c>
      <c r="I70" s="34">
        <f>IF($B70="",0,VLOOKUP($B70,'Eingabe Einzelspieler'!$A$2:$P$124,I$1,FALSE))</f>
        <v>107</v>
      </c>
      <c r="J70" s="10">
        <f t="shared" si="67"/>
        <v>638</v>
      </c>
      <c r="K70" s="10">
        <f t="shared" si="68"/>
        <v>6</v>
      </c>
      <c r="L70" s="10">
        <f>IF($B70="",0,VLOOKUP($B70,'Eingabe Einzelspieler'!$A$2:$P$124,L$1,FALSE))</f>
        <v>0</v>
      </c>
      <c r="M70" s="10">
        <f>IF(('Eingabe Einzelspieler'!$I$125-1)&gt;K70,1,"")</f>
      </c>
      <c r="N70" s="10">
        <f>IF('Eingabe Einzelspieler'!$I$125=1,0,IF(K70='Eingabe Einzelspieler'!$I$125,1,0))</f>
        <v>1</v>
      </c>
      <c r="O70" s="10">
        <f t="shared" si="69"/>
        <v>114</v>
      </c>
      <c r="P70" s="10">
        <f t="shared" si="70"/>
        <v>524</v>
      </c>
      <c r="Q70" s="82">
        <f t="shared" si="71"/>
        <v>34.93333333333333</v>
      </c>
      <c r="R70" s="83">
        <f t="shared" si="72"/>
        <v>10</v>
      </c>
      <c r="S70" s="83">
        <f>COUNTIF(R$68:R70,R70)</f>
        <v>1</v>
      </c>
      <c r="T70" s="83">
        <f t="shared" si="73"/>
        <v>10</v>
      </c>
      <c r="U70" s="88">
        <f t="shared" si="74"/>
        <v>524.001</v>
      </c>
      <c r="V70" s="34">
        <f t="shared" si="75"/>
        <v>3</v>
      </c>
      <c r="W70" s="88">
        <f t="shared" si="76"/>
        <v>477.0003</v>
      </c>
      <c r="X70" s="83">
        <f t="shared" si="77"/>
        <v>12</v>
      </c>
      <c r="Y70" s="12">
        <f t="shared" si="78"/>
        <v>3</v>
      </c>
      <c r="Z70" s="50">
        <f t="shared" si="79"/>
        <v>0</v>
      </c>
      <c r="AA70" s="52" t="str">
        <f t="shared" si="80"/>
        <v>Reh, M</v>
      </c>
      <c r="AB70" s="52" t="str">
        <f t="shared" si="80"/>
        <v>MGC Neviges</v>
      </c>
      <c r="AC70" s="12">
        <f t="shared" si="80"/>
        <v>477</v>
      </c>
      <c r="AD70" s="55">
        <f t="shared" si="80"/>
        <v>101</v>
      </c>
      <c r="AE70" s="56">
        <f t="shared" si="80"/>
        <v>31.8</v>
      </c>
      <c r="AF70" s="12">
        <f t="shared" si="80"/>
        <v>99</v>
      </c>
      <c r="AG70" s="12">
        <f t="shared" si="80"/>
        <v>94</v>
      </c>
      <c r="AH70" s="12">
        <f t="shared" si="80"/>
        <v>101</v>
      </c>
      <c r="AI70" s="12">
        <f t="shared" si="80"/>
        <v>96</v>
      </c>
      <c r="AJ70" s="12">
        <f t="shared" si="80"/>
        <v>96</v>
      </c>
      <c r="AK70" s="12">
        <f t="shared" si="80"/>
        <v>92</v>
      </c>
    </row>
    <row r="71" spans="1:37" ht="12.75">
      <c r="A71" s="52">
        <v>4</v>
      </c>
      <c r="B71" s="14" t="str">
        <f>VLOOKUP($A71,'Eingabe Einzelspieler'!$N$2:$V$124,8,FALSE)</f>
        <v>Ruge, M</v>
      </c>
      <c r="C71" s="14" t="str">
        <f>VLOOKUP($A71,'Eingabe Einzelspieler'!$N$2:$V$124,9,FALSE)</f>
        <v>MGC "AS" Witten</v>
      </c>
      <c r="D71" s="34">
        <f>IF($B71="",0,VLOOKUP($B71,'Eingabe Einzelspieler'!$A$2:$P$124,D$1,FALSE))</f>
        <v>99</v>
      </c>
      <c r="E71" s="34">
        <f>IF($B71="",0,VLOOKUP($B71,'Eingabe Einzelspieler'!$A$2:$P$124,E$1,FALSE))</f>
        <v>99</v>
      </c>
      <c r="F71" s="34">
        <f>IF($B71="",0,VLOOKUP($B71,'Eingabe Einzelspieler'!$A$2:$P$124,F$1,FALSE))</f>
        <v>96</v>
      </c>
      <c r="G71" s="34">
        <f>IF($B71="",0,VLOOKUP($B71,'Eingabe Einzelspieler'!$A$2:$P$124,G$1,FALSE))</f>
        <v>0</v>
      </c>
      <c r="H71" s="34">
        <f>IF($B71="",0,VLOOKUP($B71,'Eingabe Einzelspieler'!$A$2:$P$124,H$1,FALSE))</f>
        <v>103</v>
      </c>
      <c r="I71" s="34">
        <f>IF($B71="",0,VLOOKUP($B71,'Eingabe Einzelspieler'!$A$2:$P$124,I$1,FALSE))</f>
        <v>98</v>
      </c>
      <c r="J71" s="10">
        <f t="shared" si="67"/>
        <v>495</v>
      </c>
      <c r="K71" s="10">
        <f t="shared" si="68"/>
        <v>5</v>
      </c>
      <c r="L71" s="10">
        <f>IF($B71="",0,VLOOKUP($B71,'Eingabe Einzelspieler'!$A$2:$P$124,L$1,FALSE))</f>
        <v>0</v>
      </c>
      <c r="M71" s="10">
        <f>IF(('Eingabe Einzelspieler'!$I$125-1)&gt;K71,1,"")</f>
      </c>
      <c r="N71" s="10">
        <f>IF('Eingabe Einzelspieler'!$I$125=1,0,IF(K71='Eingabe Einzelspieler'!$I$125,1,0))</f>
        <v>0</v>
      </c>
      <c r="O71" s="10">
        <f t="shared" si="69"/>
      </c>
      <c r="P71" s="10">
        <f t="shared" si="70"/>
        <v>495</v>
      </c>
      <c r="Q71" s="82">
        <f t="shared" si="71"/>
        <v>33</v>
      </c>
      <c r="R71" s="83">
        <f t="shared" si="72"/>
        <v>6</v>
      </c>
      <c r="S71" s="83">
        <f>COUNTIF(R$68:R71,R71)</f>
        <v>1</v>
      </c>
      <c r="T71" s="83">
        <f t="shared" si="73"/>
        <v>6</v>
      </c>
      <c r="U71" s="88">
        <f t="shared" si="74"/>
        <v>495.0006</v>
      </c>
      <c r="V71" s="34">
        <f t="shared" si="75"/>
        <v>4</v>
      </c>
      <c r="W71" s="88">
        <f t="shared" si="76"/>
        <v>484.0004</v>
      </c>
      <c r="X71" s="83">
        <f t="shared" si="77"/>
        <v>11</v>
      </c>
      <c r="Y71" s="12">
        <f t="shared" si="78"/>
        <v>4</v>
      </c>
      <c r="Z71" s="50">
        <f t="shared" si="79"/>
        <v>0</v>
      </c>
      <c r="AA71" s="52" t="str">
        <f t="shared" si="80"/>
        <v>Rassler, C</v>
      </c>
      <c r="AB71" s="52" t="str">
        <f t="shared" si="80"/>
        <v>MGC Neviges</v>
      </c>
      <c r="AC71" s="12">
        <f t="shared" si="80"/>
        <v>484</v>
      </c>
      <c r="AD71" s="55">
        <f t="shared" si="80"/>
        <v>107</v>
      </c>
      <c r="AE71" s="56">
        <f t="shared" si="80"/>
        <v>32.266666666666666</v>
      </c>
      <c r="AF71" s="12">
        <f t="shared" si="80"/>
        <v>101</v>
      </c>
      <c r="AG71" s="12">
        <f t="shared" si="80"/>
        <v>100</v>
      </c>
      <c r="AH71" s="12">
        <f t="shared" si="80"/>
        <v>96</v>
      </c>
      <c r="AI71" s="12">
        <f t="shared" si="80"/>
        <v>107</v>
      </c>
      <c r="AJ71" s="12">
        <f t="shared" si="80"/>
        <v>97</v>
      </c>
      <c r="AK71" s="12">
        <f t="shared" si="80"/>
        <v>90</v>
      </c>
    </row>
    <row r="72" spans="1:37" ht="12.75">
      <c r="A72" s="52">
        <v>5</v>
      </c>
      <c r="B72" s="14" t="str">
        <f>VLOOKUP($A72,'Eingabe Einzelspieler'!$N$2:$V$124,8,FALSE)</f>
        <v>Weinberger, S</v>
      </c>
      <c r="C72" s="14" t="str">
        <f>VLOOKUP($A72,'Eingabe Einzelspieler'!$N$2:$V$124,9,FALSE)</f>
        <v>1.MGC Gelsenkirchen</v>
      </c>
      <c r="D72" s="34">
        <f>IF($B72="",0,VLOOKUP($B72,'Eingabe Einzelspieler'!$A$2:$P$124,D$1,FALSE))</f>
        <v>107</v>
      </c>
      <c r="E72" s="34">
        <f>IF($B72="",0,VLOOKUP($B72,'Eingabe Einzelspieler'!$A$2:$P$124,E$1,FALSE))</f>
        <v>99</v>
      </c>
      <c r="F72" s="34">
        <f>IF($B72="",0,VLOOKUP($B72,'Eingabe Einzelspieler'!$A$2:$P$124,F$1,FALSE))</f>
        <v>102</v>
      </c>
      <c r="G72" s="34">
        <f>IF($B72="",0,VLOOKUP($B72,'Eingabe Einzelspieler'!$A$2:$P$124,G$1,FALSE))</f>
        <v>0</v>
      </c>
      <c r="H72" s="34">
        <f>IF($B72="",0,VLOOKUP($B72,'Eingabe Einzelspieler'!$A$2:$P$124,H$1,FALSE))</f>
        <v>108</v>
      </c>
      <c r="I72" s="34">
        <f>IF($B72="",0,VLOOKUP($B72,'Eingabe Einzelspieler'!$A$2:$P$124,I$1,FALSE))</f>
        <v>100</v>
      </c>
      <c r="J72" s="10">
        <f t="shared" si="67"/>
        <v>516</v>
      </c>
      <c r="K72" s="10">
        <f t="shared" si="68"/>
        <v>5</v>
      </c>
      <c r="L72" s="10">
        <f>IF($B72="",0,VLOOKUP($B72,'Eingabe Einzelspieler'!$A$2:$P$124,L$1,FALSE))</f>
        <v>0</v>
      </c>
      <c r="M72" s="10">
        <f>IF(('Eingabe Einzelspieler'!$I$125-1)&gt;K72,1,"")</f>
      </c>
      <c r="N72" s="10">
        <f>IF('Eingabe Einzelspieler'!$I$125=1,0,IF(K72='Eingabe Einzelspieler'!$I$125,1,0))</f>
        <v>0</v>
      </c>
      <c r="O72" s="10">
        <f t="shared" si="69"/>
      </c>
      <c r="P72" s="10">
        <f t="shared" si="70"/>
        <v>516</v>
      </c>
      <c r="Q72" s="82">
        <f t="shared" si="71"/>
        <v>34.4</v>
      </c>
      <c r="R72" s="83">
        <f t="shared" si="72"/>
        <v>9</v>
      </c>
      <c r="S72" s="83">
        <f>COUNTIF(R$68:R72,R72)</f>
        <v>1</v>
      </c>
      <c r="T72" s="83">
        <f t="shared" si="73"/>
        <v>9</v>
      </c>
      <c r="U72" s="88">
        <f t="shared" si="74"/>
        <v>516.0009</v>
      </c>
      <c r="V72" s="34">
        <f t="shared" si="75"/>
        <v>5</v>
      </c>
      <c r="W72" s="88">
        <f t="shared" si="76"/>
        <v>494.0005</v>
      </c>
      <c r="X72" s="83">
        <f t="shared" si="77"/>
        <v>13</v>
      </c>
      <c r="Y72" s="12">
        <f t="shared" si="78"/>
        <v>5</v>
      </c>
      <c r="Z72" s="50">
        <f t="shared" si="79"/>
        <v>0</v>
      </c>
      <c r="AA72" s="52" t="str">
        <f t="shared" si="80"/>
        <v>Hauschke, K</v>
      </c>
      <c r="AB72" s="52" t="str">
        <f t="shared" si="80"/>
        <v>BGC Uerdingen</v>
      </c>
      <c r="AC72" s="12">
        <f t="shared" si="80"/>
        <v>494</v>
      </c>
      <c r="AD72" s="55">
        <f t="shared" si="80"/>
        <v>119</v>
      </c>
      <c r="AE72" s="56">
        <f t="shared" si="80"/>
        <v>32.93333333333333</v>
      </c>
      <c r="AF72" s="12">
        <f t="shared" si="80"/>
        <v>119</v>
      </c>
      <c r="AG72" s="12">
        <f t="shared" si="80"/>
        <v>101</v>
      </c>
      <c r="AH72" s="12">
        <f t="shared" si="80"/>
        <v>101</v>
      </c>
      <c r="AI72" s="12">
        <f t="shared" si="80"/>
        <v>95</v>
      </c>
      <c r="AJ72" s="12">
        <f t="shared" si="80"/>
        <v>103</v>
      </c>
      <c r="AK72" s="12">
        <f t="shared" si="80"/>
        <v>94</v>
      </c>
    </row>
    <row r="73" spans="1:37" ht="12.75">
      <c r="A73" s="52">
        <v>6</v>
      </c>
      <c r="B73" s="14" t="str">
        <f>VLOOKUP($A73,'Eingabe Einzelspieler'!$N$2:$V$124,8,FALSE)</f>
        <v>Weinberger, G</v>
      </c>
      <c r="C73" s="14" t="str">
        <f>VLOOKUP($A73,'Eingabe Einzelspieler'!$N$2:$V$124,9,FALSE)</f>
        <v>1.MGC Gelsenkirchen</v>
      </c>
      <c r="D73" s="34">
        <f>IF($B73="",0,VLOOKUP($B73,'Eingabe Einzelspieler'!$A$2:$P$124,D$1,FALSE))</f>
        <v>0</v>
      </c>
      <c r="E73" s="34">
        <f>IF($B73="",0,VLOOKUP($B73,'Eingabe Einzelspieler'!$A$2:$P$124,E$1,FALSE))</f>
        <v>0</v>
      </c>
      <c r="F73" s="34">
        <f>IF($B73="",0,VLOOKUP($B73,'Eingabe Einzelspieler'!$A$2:$P$124,F$1,FALSE))</f>
        <v>0</v>
      </c>
      <c r="G73" s="34">
        <f>IF($B73="",0,VLOOKUP($B73,'Eingabe Einzelspieler'!$A$2:$P$124,G$1,FALSE))</f>
        <v>0</v>
      </c>
      <c r="H73" s="34">
        <f>IF($B73="",0,VLOOKUP($B73,'Eingabe Einzelspieler'!$A$2:$P$124,H$1,FALSE))</f>
        <v>0</v>
      </c>
      <c r="I73" s="34">
        <f>IF($B73="",0,VLOOKUP($B73,'Eingabe Einzelspieler'!$A$2:$P$124,I$1,FALSE))</f>
        <v>104</v>
      </c>
      <c r="J73" s="10">
        <f aca="true" t="shared" si="81" ref="J73:J78">SUM(D73:I73)</f>
        <v>104</v>
      </c>
      <c r="K73" s="10">
        <f aca="true" t="shared" si="82" ref="K73:K78">COUNTIF(D73:I73,"&gt;0")</f>
        <v>1</v>
      </c>
      <c r="L73" s="10">
        <f>IF($B73="",0,VLOOKUP($B73,'Eingabe Einzelspieler'!$A$2:$P$124,L$1,FALSE))</f>
        <v>0</v>
      </c>
      <c r="M73" s="10">
        <f>IF(('Eingabe Einzelspieler'!$I$125-1)&gt;K73,1,"")</f>
        <v>1</v>
      </c>
      <c r="N73" s="10">
        <f>IF('Eingabe Einzelspieler'!$I$125=1,0,IF(K73='Eingabe Einzelspieler'!$I$125,1,0))</f>
        <v>0</v>
      </c>
      <c r="O73" s="10">
        <f aca="true" t="shared" si="83" ref="O73:O78">IF(N73=1,LARGE(D73:I73,1),"")</f>
      </c>
      <c r="P73" s="10" t="str">
        <f aca="true" t="shared" si="84" ref="P73:P78">IF(M73=1,"ADW",IF(N73=1,SUM(J73-O73),J73))</f>
        <v>ADW</v>
      </c>
      <c r="Q73" s="82">
        <f aca="true" t="shared" si="85" ref="Q73:Q78">IF(J73=0,0,IF(AND(K73=1,N73=1),J73/3,IF(M73=1,"",IF(N73=0,P73/K73/3,P73/(K73-N73)/3))))</f>
      </c>
      <c r="R73" s="83">
        <f aca="true" t="shared" si="86" ref="R73:R78">IF(M73=1,100,RANK(P73,$P$68:$P$80,1))</f>
        <v>100</v>
      </c>
      <c r="S73" s="83">
        <f>COUNTIF(R$68:R73,R73)</f>
        <v>1</v>
      </c>
      <c r="T73" s="83">
        <f aca="true" t="shared" si="87" ref="T73:T78">R73+S73-1</f>
        <v>100</v>
      </c>
      <c r="U73" s="88">
        <f aca="true" t="shared" si="88" ref="U73:U78">IF(M73=1,2500+(T73/10000),P73+(T73/10000)+(L73/10))</f>
        <v>2500.01</v>
      </c>
      <c r="V73" s="34">
        <f aca="true" t="shared" si="89" ref="V73:V78">A73</f>
        <v>6</v>
      </c>
      <c r="W73" s="88">
        <f aca="true" t="shared" si="90" ref="W73:W78">SMALL(U$68:U$80,A73)</f>
        <v>495.0006</v>
      </c>
      <c r="X73" s="83">
        <f t="shared" si="77"/>
        <v>4</v>
      </c>
      <c r="Y73" s="12">
        <f aca="true" t="shared" si="91" ref="Y73:Y78">A73</f>
        <v>6</v>
      </c>
      <c r="Z73" s="50">
        <f t="shared" si="79"/>
        <v>0</v>
      </c>
      <c r="AA73" s="101" t="str">
        <f aca="true" t="shared" si="92" ref="AA73:AK77">VLOOKUP($X73,$A$68:$X$80,AA$1,FALSE)</f>
        <v>Ruge, M</v>
      </c>
      <c r="AB73" s="101" t="str">
        <f t="shared" si="92"/>
        <v>MGC "AS" Witten</v>
      </c>
      <c r="AC73" s="102">
        <f t="shared" si="92"/>
        <v>495</v>
      </c>
      <c r="AD73" s="55">
        <f t="shared" si="92"/>
      </c>
      <c r="AE73" s="56">
        <f t="shared" si="92"/>
        <v>33</v>
      </c>
      <c r="AF73" s="12">
        <f t="shared" si="92"/>
        <v>99</v>
      </c>
      <c r="AG73" s="12">
        <f t="shared" si="92"/>
        <v>99</v>
      </c>
      <c r="AH73" s="12">
        <f t="shared" si="92"/>
        <v>96</v>
      </c>
      <c r="AI73" s="12">
        <f t="shared" si="92"/>
        <v>0</v>
      </c>
      <c r="AJ73" s="12">
        <f t="shared" si="92"/>
        <v>103</v>
      </c>
      <c r="AK73" s="12">
        <f t="shared" si="92"/>
        <v>98</v>
      </c>
    </row>
    <row r="74" spans="1:37" ht="12.75">
      <c r="A74" s="52">
        <v>7</v>
      </c>
      <c r="B74" s="14" t="str">
        <f>VLOOKUP($A74,'Eingabe Einzelspieler'!$N$2:$V$124,8,FALSE)</f>
        <v>Bork, E</v>
      </c>
      <c r="C74" s="14" t="str">
        <f>VLOOKUP($A74,'Eingabe Einzelspieler'!$N$2:$V$124,9,FALSE)</f>
        <v>1.MSC Wesel</v>
      </c>
      <c r="D74" s="34">
        <f>IF($B74="",0,VLOOKUP($B74,'Eingabe Einzelspieler'!$A$2:$P$124,D$1,FALSE))</f>
        <v>107</v>
      </c>
      <c r="E74" s="34">
        <f>IF($B74="",0,VLOOKUP($B74,'Eingabe Einzelspieler'!$A$2:$P$124,E$1,FALSE))</f>
        <v>102</v>
      </c>
      <c r="F74" s="34">
        <f>IF($B74="",0,VLOOKUP($B74,'Eingabe Einzelspieler'!$A$2:$P$124,F$1,FALSE))</f>
        <v>105</v>
      </c>
      <c r="G74" s="34">
        <f>IF($B74="",0,VLOOKUP($B74,'Eingabe Einzelspieler'!$A$2:$P$124,G$1,FALSE))</f>
        <v>99</v>
      </c>
      <c r="H74" s="34">
        <f>IF($B74="",0,VLOOKUP($B74,'Eingabe Einzelspieler'!$A$2:$P$124,H$1,FALSE))</f>
        <v>97</v>
      </c>
      <c r="I74" s="34">
        <f>IF($B74="",0,VLOOKUP($B74,'Eingabe Einzelspieler'!$A$2:$P$124,I$1,FALSE))</f>
        <v>101</v>
      </c>
      <c r="J74" s="10">
        <f t="shared" si="81"/>
        <v>611</v>
      </c>
      <c r="K74" s="10">
        <f t="shared" si="82"/>
        <v>6</v>
      </c>
      <c r="L74" s="10">
        <f>IF($B74="",0,VLOOKUP($B74,'Eingabe Einzelspieler'!$A$2:$P$124,L$1,FALSE))</f>
        <v>0</v>
      </c>
      <c r="M74" s="10">
        <f>IF(('Eingabe Einzelspieler'!$I$125-1)&gt;K74,1,"")</f>
      </c>
      <c r="N74" s="10">
        <f>IF('Eingabe Einzelspieler'!$I$125=1,0,IF(K74='Eingabe Einzelspieler'!$I$125,1,0))</f>
        <v>1</v>
      </c>
      <c r="O74" s="10">
        <f t="shared" si="83"/>
        <v>107</v>
      </c>
      <c r="P74" s="10">
        <f t="shared" si="84"/>
        <v>504</v>
      </c>
      <c r="Q74" s="82">
        <f t="shared" si="85"/>
        <v>33.6</v>
      </c>
      <c r="R74" s="83">
        <f t="shared" si="86"/>
        <v>7</v>
      </c>
      <c r="S74" s="83">
        <f>COUNTIF(R$68:R74,R74)</f>
        <v>1</v>
      </c>
      <c r="T74" s="83">
        <f t="shared" si="87"/>
        <v>7</v>
      </c>
      <c r="U74" s="88">
        <f t="shared" si="88"/>
        <v>504.0007</v>
      </c>
      <c r="V74" s="34">
        <f t="shared" si="89"/>
        <v>7</v>
      </c>
      <c r="W74" s="88">
        <f t="shared" si="90"/>
        <v>504.0007</v>
      </c>
      <c r="X74" s="83">
        <f t="shared" si="77"/>
        <v>7</v>
      </c>
      <c r="Y74" s="12">
        <f t="shared" si="91"/>
        <v>7</v>
      </c>
      <c r="Z74" s="50">
        <f t="shared" si="79"/>
        <v>0</v>
      </c>
      <c r="AA74" s="52" t="str">
        <f t="shared" si="92"/>
        <v>Bork, E</v>
      </c>
      <c r="AB74" s="52" t="str">
        <f t="shared" si="92"/>
        <v>1.MSC Wesel</v>
      </c>
      <c r="AC74" s="12">
        <f t="shared" si="92"/>
        <v>504</v>
      </c>
      <c r="AD74" s="55">
        <f t="shared" si="92"/>
        <v>107</v>
      </c>
      <c r="AE74" s="56">
        <f t="shared" si="92"/>
        <v>33.6</v>
      </c>
      <c r="AF74" s="12">
        <f t="shared" si="92"/>
        <v>107</v>
      </c>
      <c r="AG74" s="12">
        <f t="shared" si="92"/>
        <v>102</v>
      </c>
      <c r="AH74" s="12">
        <f t="shared" si="92"/>
        <v>105</v>
      </c>
      <c r="AI74" s="12">
        <f t="shared" si="92"/>
        <v>99</v>
      </c>
      <c r="AJ74" s="12">
        <f t="shared" si="92"/>
        <v>97</v>
      </c>
      <c r="AK74" s="12">
        <f t="shared" si="92"/>
        <v>101</v>
      </c>
    </row>
    <row r="75" spans="1:37" ht="12.75">
      <c r="A75" s="52">
        <v>8</v>
      </c>
      <c r="B75" s="14" t="str">
        <f>VLOOKUP($A75,'Eingabe Einzelspieler'!$N$2:$V$124,8,FALSE)</f>
        <v>Plängsken, R</v>
      </c>
      <c r="C75" s="14" t="str">
        <f>VLOOKUP($A75,'Eingabe Einzelspieler'!$N$2:$V$124,9,FALSE)</f>
        <v>1.MSC Wesel</v>
      </c>
      <c r="D75" s="34">
        <f>IF($B75="",0,VLOOKUP($B75,'Eingabe Einzelspieler'!$A$2:$P$124,D$1,FALSE))</f>
        <v>113</v>
      </c>
      <c r="E75" s="34">
        <f>IF($B75="",0,VLOOKUP($B75,'Eingabe Einzelspieler'!$A$2:$P$124,E$1,FALSE))</f>
        <v>92</v>
      </c>
      <c r="F75" s="34">
        <f>IF($B75="",0,VLOOKUP($B75,'Eingabe Einzelspieler'!$A$2:$P$124,F$1,FALSE))</f>
        <v>98</v>
      </c>
      <c r="G75" s="34">
        <f>IF($B75="",0,VLOOKUP($B75,'Eingabe Einzelspieler'!$A$2:$P$124,G$1,FALSE))</f>
        <v>102</v>
      </c>
      <c r="H75" s="34">
        <f>IF($B75="",0,VLOOKUP($B75,'Eingabe Einzelspieler'!$A$2:$P$124,H$1,FALSE))</f>
        <v>106</v>
      </c>
      <c r="I75" s="34">
        <f>IF($B75="",0,VLOOKUP($B75,'Eingabe Einzelspieler'!$A$2:$P$124,I$1,FALSE))</f>
        <v>111</v>
      </c>
      <c r="J75" s="10">
        <f t="shared" si="81"/>
        <v>622</v>
      </c>
      <c r="K75" s="10">
        <f t="shared" si="82"/>
        <v>6</v>
      </c>
      <c r="L75" s="10">
        <f>IF($B75="",0,VLOOKUP($B75,'Eingabe Einzelspieler'!$A$2:$P$124,L$1,FALSE))</f>
        <v>0</v>
      </c>
      <c r="M75" s="10">
        <f>IF(('Eingabe Einzelspieler'!$I$125-1)&gt;K75,1,"")</f>
      </c>
      <c r="N75" s="10">
        <f>IF('Eingabe Einzelspieler'!$I$125=1,0,IF(K75='Eingabe Einzelspieler'!$I$125,1,0))</f>
        <v>1</v>
      </c>
      <c r="O75" s="10">
        <f t="shared" si="83"/>
        <v>113</v>
      </c>
      <c r="P75" s="10">
        <f t="shared" si="84"/>
        <v>509</v>
      </c>
      <c r="Q75" s="82">
        <f t="shared" si="85"/>
        <v>33.93333333333333</v>
      </c>
      <c r="R75" s="83">
        <f t="shared" si="86"/>
        <v>8</v>
      </c>
      <c r="S75" s="83">
        <f>COUNTIF(R$68:R75,R75)</f>
        <v>1</v>
      </c>
      <c r="T75" s="83">
        <f t="shared" si="87"/>
        <v>8</v>
      </c>
      <c r="U75" s="88">
        <f t="shared" si="88"/>
        <v>509.0008</v>
      </c>
      <c r="V75" s="34">
        <f t="shared" si="89"/>
        <v>8</v>
      </c>
      <c r="W75" s="88">
        <f t="shared" si="90"/>
        <v>509.0008</v>
      </c>
      <c r="X75" s="83">
        <f t="shared" si="77"/>
        <v>8</v>
      </c>
      <c r="Y75" s="12">
        <f t="shared" si="91"/>
        <v>8</v>
      </c>
      <c r="Z75" s="50">
        <f t="shared" si="79"/>
        <v>0</v>
      </c>
      <c r="AA75" s="52" t="str">
        <f t="shared" si="92"/>
        <v>Plängsken, R</v>
      </c>
      <c r="AB75" s="52" t="str">
        <f t="shared" si="92"/>
        <v>1.MSC Wesel</v>
      </c>
      <c r="AC75" s="12">
        <f t="shared" si="92"/>
        <v>509</v>
      </c>
      <c r="AD75" s="55">
        <f t="shared" si="92"/>
        <v>113</v>
      </c>
      <c r="AE75" s="56">
        <f t="shared" si="92"/>
        <v>33.93333333333333</v>
      </c>
      <c r="AF75" s="12">
        <f t="shared" si="92"/>
        <v>113</v>
      </c>
      <c r="AG75" s="12">
        <f t="shared" si="92"/>
        <v>92</v>
      </c>
      <c r="AH75" s="12">
        <f t="shared" si="92"/>
        <v>98</v>
      </c>
      <c r="AI75" s="12">
        <f t="shared" si="92"/>
        <v>102</v>
      </c>
      <c r="AJ75" s="12">
        <f t="shared" si="92"/>
        <v>106</v>
      </c>
      <c r="AK75" s="12">
        <f t="shared" si="92"/>
        <v>111</v>
      </c>
    </row>
    <row r="76" spans="1:37" ht="12.75">
      <c r="A76" s="52">
        <v>9</v>
      </c>
      <c r="B76" s="14" t="str">
        <f>VLOOKUP($A76,'Eingabe Einzelspieler'!$N$2:$V$124,8,FALSE)</f>
        <v>Kampmann, U</v>
      </c>
      <c r="C76" s="14" t="str">
        <f>VLOOKUP($A76,'Eingabe Einzelspieler'!$N$2:$V$124,9,FALSE)</f>
        <v>MGC Neviges</v>
      </c>
      <c r="D76" s="34">
        <f>IF($B76="",0,VLOOKUP($B76,'Eingabe Einzelspieler'!$A$2:$P$124,D$1,FALSE))</f>
        <v>99</v>
      </c>
      <c r="E76" s="34">
        <f>IF($B76="",0,VLOOKUP($B76,'Eingabe Einzelspieler'!$A$2:$P$124,E$1,FALSE))</f>
        <v>95</v>
      </c>
      <c r="F76" s="34">
        <f>IF($B76="",0,VLOOKUP($B76,'Eingabe Einzelspieler'!$A$2:$P$124,F$1,FALSE))</f>
        <v>95</v>
      </c>
      <c r="G76" s="34">
        <f>IF($B76="",0,VLOOKUP($B76,'Eingabe Einzelspieler'!$A$2:$P$124,G$1,FALSE))</f>
        <v>104</v>
      </c>
      <c r="H76" s="34">
        <f>IF($B76="",0,VLOOKUP($B76,'Eingabe Einzelspieler'!$A$2:$P$124,H$1,FALSE))</f>
        <v>86</v>
      </c>
      <c r="I76" s="34">
        <f>IF($B76="",0,VLOOKUP($B76,'Eingabe Einzelspieler'!$A$2:$P$124,I$1,FALSE))</f>
        <v>101</v>
      </c>
      <c r="J76" s="10">
        <f t="shared" si="81"/>
        <v>580</v>
      </c>
      <c r="K76" s="10">
        <f t="shared" si="82"/>
        <v>6</v>
      </c>
      <c r="L76" s="10">
        <f>IF($B76="",0,VLOOKUP($B76,'Eingabe Einzelspieler'!$A$2:$P$124,L$1,FALSE))</f>
        <v>0</v>
      </c>
      <c r="M76" s="10">
        <f>IF(('Eingabe Einzelspieler'!$I$125-1)&gt;K76,1,"")</f>
      </c>
      <c r="N76" s="10">
        <f>IF('Eingabe Einzelspieler'!$I$125=1,0,IF(K76='Eingabe Einzelspieler'!$I$125,1,0))</f>
        <v>1</v>
      </c>
      <c r="O76" s="10">
        <f t="shared" si="83"/>
        <v>104</v>
      </c>
      <c r="P76" s="10">
        <f t="shared" si="84"/>
        <v>476</v>
      </c>
      <c r="Q76" s="82">
        <f t="shared" si="85"/>
        <v>31.733333333333334</v>
      </c>
      <c r="R76" s="83">
        <f t="shared" si="86"/>
        <v>2</v>
      </c>
      <c r="S76" s="83">
        <f>COUNTIF(R$68:R76,R76)</f>
        <v>1</v>
      </c>
      <c r="T76" s="83">
        <f t="shared" si="87"/>
        <v>2</v>
      </c>
      <c r="U76" s="88">
        <f t="shared" si="88"/>
        <v>476.0002</v>
      </c>
      <c r="V76" s="34">
        <f t="shared" si="89"/>
        <v>9</v>
      </c>
      <c r="W76" s="88">
        <f t="shared" si="90"/>
        <v>516.0009</v>
      </c>
      <c r="X76" s="83">
        <f t="shared" si="77"/>
        <v>5</v>
      </c>
      <c r="Y76" s="12">
        <f t="shared" si="91"/>
        <v>9</v>
      </c>
      <c r="Z76" s="50">
        <f t="shared" si="79"/>
        <v>0</v>
      </c>
      <c r="AA76" s="52" t="str">
        <f t="shared" si="92"/>
        <v>Weinberger, S</v>
      </c>
      <c r="AB76" s="52" t="str">
        <f t="shared" si="92"/>
        <v>1.MGC Gelsenkirchen</v>
      </c>
      <c r="AC76" s="12">
        <f t="shared" si="92"/>
        <v>516</v>
      </c>
      <c r="AD76" s="55">
        <f t="shared" si="92"/>
      </c>
      <c r="AE76" s="56">
        <f t="shared" si="92"/>
        <v>34.4</v>
      </c>
      <c r="AF76" s="12">
        <f t="shared" si="92"/>
        <v>107</v>
      </c>
      <c r="AG76" s="12">
        <f t="shared" si="92"/>
        <v>99</v>
      </c>
      <c r="AH76" s="12">
        <f t="shared" si="92"/>
        <v>102</v>
      </c>
      <c r="AI76" s="12">
        <f t="shared" si="92"/>
        <v>0</v>
      </c>
      <c r="AJ76" s="12">
        <f t="shared" si="92"/>
        <v>108</v>
      </c>
      <c r="AK76" s="12">
        <f t="shared" si="92"/>
        <v>100</v>
      </c>
    </row>
    <row r="77" spans="1:37" ht="12.75">
      <c r="A77" s="52">
        <v>10</v>
      </c>
      <c r="B77" s="14" t="str">
        <f>VLOOKUP($A77,'Eingabe Einzelspieler'!$N$2:$V$124,8,FALSE)</f>
        <v>Falterbaum, M</v>
      </c>
      <c r="C77" s="14" t="str">
        <f>VLOOKUP($A77,'Eingabe Einzelspieler'!$N$2:$V$124,9,FALSE)</f>
        <v>MGC Neviges</v>
      </c>
      <c r="D77" s="34">
        <f>IF($B77="",0,VLOOKUP($B77,'Eingabe Einzelspieler'!$A$2:$P$124,D$1,FALSE))</f>
        <v>104</v>
      </c>
      <c r="E77" s="34">
        <f>IF($B77="",0,VLOOKUP($B77,'Eingabe Einzelspieler'!$A$2:$P$124,E$1,FALSE))</f>
        <v>106</v>
      </c>
      <c r="F77" s="34">
        <f>IF($B77="",0,VLOOKUP($B77,'Eingabe Einzelspieler'!$A$2:$P$124,F$1,FALSE))</f>
        <v>100</v>
      </c>
      <c r="G77" s="34">
        <f>IF($B77="",0,VLOOKUP($B77,'Eingabe Einzelspieler'!$A$2:$P$124,G$1,FALSE))</f>
        <v>0</v>
      </c>
      <c r="H77" s="34">
        <f>IF($B77="",0,VLOOKUP($B77,'Eingabe Einzelspieler'!$A$2:$P$124,H$1,FALSE))</f>
        <v>101</v>
      </c>
      <c r="I77" s="34">
        <f>IF($B77="",0,VLOOKUP($B77,'Eingabe Einzelspieler'!$A$2:$P$124,I$1,FALSE))</f>
        <v>0</v>
      </c>
      <c r="J77" s="10">
        <f t="shared" si="81"/>
        <v>411</v>
      </c>
      <c r="K77" s="10">
        <f t="shared" si="82"/>
        <v>4</v>
      </c>
      <c r="L77" s="10">
        <f>IF($B77="",0,VLOOKUP($B77,'Eingabe Einzelspieler'!$A$2:$P$124,L$1,FALSE))</f>
        <v>0</v>
      </c>
      <c r="M77" s="10">
        <f>IF(('Eingabe Einzelspieler'!$I$125-1)&gt;K77,1,"")</f>
        <v>1</v>
      </c>
      <c r="N77" s="10">
        <f>IF('Eingabe Einzelspieler'!$I$125=1,0,IF(K77='Eingabe Einzelspieler'!$I$125,1,0))</f>
        <v>0</v>
      </c>
      <c r="O77" s="10">
        <f t="shared" si="83"/>
      </c>
      <c r="P77" s="10" t="str">
        <f t="shared" si="84"/>
        <v>ADW</v>
      </c>
      <c r="Q77" s="82">
        <f t="shared" si="85"/>
      </c>
      <c r="R77" s="83">
        <f t="shared" si="86"/>
        <v>100</v>
      </c>
      <c r="S77" s="83">
        <f>COUNTIF(R$68:R77,R77)</f>
        <v>2</v>
      </c>
      <c r="T77" s="83">
        <f t="shared" si="87"/>
        <v>101</v>
      </c>
      <c r="U77" s="88">
        <f t="shared" si="88"/>
        <v>2500.0101</v>
      </c>
      <c r="V77" s="34">
        <f t="shared" si="89"/>
        <v>10</v>
      </c>
      <c r="W77" s="88">
        <f t="shared" si="90"/>
        <v>524.001</v>
      </c>
      <c r="X77" s="83">
        <f t="shared" si="77"/>
        <v>3</v>
      </c>
      <c r="Y77" s="12">
        <f t="shared" si="91"/>
        <v>10</v>
      </c>
      <c r="Z77" s="50">
        <f t="shared" si="79"/>
        <v>0</v>
      </c>
      <c r="AA77" s="101" t="str">
        <f t="shared" si="92"/>
        <v>Lange, M</v>
      </c>
      <c r="AB77" s="101" t="str">
        <f t="shared" si="92"/>
        <v>MGC "AS" Witten</v>
      </c>
      <c r="AC77" s="102">
        <f t="shared" si="92"/>
        <v>524</v>
      </c>
      <c r="AD77" s="55">
        <f t="shared" si="92"/>
        <v>114</v>
      </c>
      <c r="AE77" s="56">
        <f t="shared" si="92"/>
        <v>34.93333333333333</v>
      </c>
      <c r="AF77" s="12">
        <f t="shared" si="92"/>
        <v>101</v>
      </c>
      <c r="AG77" s="12">
        <f t="shared" si="92"/>
        <v>102</v>
      </c>
      <c r="AH77" s="12">
        <f t="shared" si="92"/>
        <v>114</v>
      </c>
      <c r="AI77" s="12">
        <f t="shared" si="92"/>
        <v>105</v>
      </c>
      <c r="AJ77" s="12">
        <f t="shared" si="92"/>
        <v>109</v>
      </c>
      <c r="AK77" s="12">
        <f t="shared" si="92"/>
        <v>107</v>
      </c>
    </row>
    <row r="78" spans="1:37" ht="12.75">
      <c r="A78" s="52">
        <v>11</v>
      </c>
      <c r="B78" s="14" t="str">
        <f>VLOOKUP($A78,'Eingabe Einzelspieler'!$N$2:$V$124,8,FALSE)</f>
        <v>Rassler, C</v>
      </c>
      <c r="C78" s="14" t="str">
        <f>VLOOKUP($A78,'Eingabe Einzelspieler'!$N$2:$V$124,9,FALSE)</f>
        <v>MGC Neviges</v>
      </c>
      <c r="D78" s="34">
        <f>IF($B78="",0,VLOOKUP($B78,'Eingabe Einzelspieler'!$A$2:$P$124,D$1,FALSE))</f>
        <v>101</v>
      </c>
      <c r="E78" s="34">
        <f>IF($B78="",0,VLOOKUP($B78,'Eingabe Einzelspieler'!$A$2:$P$124,E$1,FALSE))</f>
        <v>100</v>
      </c>
      <c r="F78" s="34">
        <f>IF($B78="",0,VLOOKUP($B78,'Eingabe Einzelspieler'!$A$2:$P$124,F$1,FALSE))</f>
        <v>96</v>
      </c>
      <c r="G78" s="34">
        <f>IF($B78="",0,VLOOKUP($B78,'Eingabe Einzelspieler'!$A$2:$P$124,G$1,FALSE))</f>
        <v>107</v>
      </c>
      <c r="H78" s="34">
        <f>IF($B78="",0,VLOOKUP($B78,'Eingabe Einzelspieler'!$A$2:$P$124,H$1,FALSE))</f>
        <v>97</v>
      </c>
      <c r="I78" s="34">
        <f>IF($B78="",0,VLOOKUP($B78,'Eingabe Einzelspieler'!$A$2:$P$124,I$1,FALSE))</f>
        <v>90</v>
      </c>
      <c r="J78" s="10">
        <f t="shared" si="81"/>
        <v>591</v>
      </c>
      <c r="K78" s="10">
        <f t="shared" si="82"/>
        <v>6</v>
      </c>
      <c r="L78" s="10">
        <f>IF($B78="",0,VLOOKUP($B78,'Eingabe Einzelspieler'!$A$2:$P$124,L$1,FALSE))</f>
        <v>0</v>
      </c>
      <c r="M78" s="10">
        <f>IF(('Eingabe Einzelspieler'!$I$125-1)&gt;K78,1,"")</f>
      </c>
      <c r="N78" s="10">
        <f>IF('Eingabe Einzelspieler'!$I$125=1,0,IF(K78='Eingabe Einzelspieler'!$I$125,1,0))</f>
        <v>1</v>
      </c>
      <c r="O78" s="10">
        <f t="shared" si="83"/>
        <v>107</v>
      </c>
      <c r="P78" s="10">
        <f t="shared" si="84"/>
        <v>484</v>
      </c>
      <c r="Q78" s="82">
        <f t="shared" si="85"/>
        <v>32.266666666666666</v>
      </c>
      <c r="R78" s="83">
        <f t="shared" si="86"/>
        <v>4</v>
      </c>
      <c r="S78" s="83">
        <f>COUNTIF(R$68:R78,R78)</f>
        <v>1</v>
      </c>
      <c r="T78" s="83">
        <f t="shared" si="87"/>
        <v>4</v>
      </c>
      <c r="U78" s="88">
        <f t="shared" si="88"/>
        <v>484.0004</v>
      </c>
      <c r="V78" s="34">
        <f t="shared" si="89"/>
        <v>11</v>
      </c>
      <c r="W78" s="88">
        <f t="shared" si="90"/>
        <v>564.0011</v>
      </c>
      <c r="X78" s="83">
        <f>VLOOKUP(W78,U$68:V$80,$X$1,FALSE)</f>
        <v>1</v>
      </c>
      <c r="Y78" s="12">
        <f t="shared" si="91"/>
        <v>11</v>
      </c>
      <c r="Z78" s="50">
        <f t="shared" si="79"/>
        <v>0</v>
      </c>
      <c r="AA78" s="101" t="str">
        <f aca="true" t="shared" si="93" ref="AA78:AK80">VLOOKUP($X78,$A$68:$X$80,AA$1,FALSE)</f>
        <v>Bähtz, M</v>
      </c>
      <c r="AB78" s="101" t="str">
        <f t="shared" si="93"/>
        <v>MGC "AS" Witten</v>
      </c>
      <c r="AC78" s="102">
        <f t="shared" si="93"/>
        <v>564</v>
      </c>
      <c r="AD78" s="55">
        <f t="shared" si="93"/>
      </c>
      <c r="AE78" s="56">
        <f t="shared" si="93"/>
        <v>37.6</v>
      </c>
      <c r="AF78" s="12">
        <f t="shared" si="93"/>
        <v>117</v>
      </c>
      <c r="AG78" s="12">
        <f t="shared" si="93"/>
        <v>0</v>
      </c>
      <c r="AH78" s="12">
        <f t="shared" si="93"/>
        <v>112</v>
      </c>
      <c r="AI78" s="12">
        <f t="shared" si="93"/>
        <v>121</v>
      </c>
      <c r="AJ78" s="12">
        <f t="shared" si="93"/>
        <v>100</v>
      </c>
      <c r="AK78" s="12">
        <f t="shared" si="93"/>
        <v>114</v>
      </c>
    </row>
    <row r="79" spans="1:37" ht="12.75" hidden="1">
      <c r="A79" s="52">
        <v>12</v>
      </c>
      <c r="B79" s="14" t="str">
        <f>VLOOKUP($A79,'Eingabe Einzelspieler'!$N$2:$V$124,8,FALSE)</f>
        <v>Reh, M</v>
      </c>
      <c r="C79" s="14" t="str">
        <f>VLOOKUP($A79,'Eingabe Einzelspieler'!$N$2:$V$124,9,FALSE)</f>
        <v>MGC Neviges</v>
      </c>
      <c r="D79" s="34">
        <f>IF($B79="",0,VLOOKUP($B79,'Eingabe Einzelspieler'!$A$2:$P$124,D$1,FALSE))</f>
        <v>99</v>
      </c>
      <c r="E79" s="34">
        <f>IF($B79="",0,VLOOKUP($B79,'Eingabe Einzelspieler'!$A$2:$P$124,E$1,FALSE))</f>
        <v>94</v>
      </c>
      <c r="F79" s="34">
        <f>IF($B79="",0,VLOOKUP($B79,'Eingabe Einzelspieler'!$A$2:$P$124,F$1,FALSE))</f>
        <v>101</v>
      </c>
      <c r="G79" s="34">
        <f>IF($B79="",0,VLOOKUP($B79,'Eingabe Einzelspieler'!$A$2:$P$124,G$1,FALSE))</f>
        <v>96</v>
      </c>
      <c r="H79" s="34">
        <f>IF($B79="",0,VLOOKUP($B79,'Eingabe Einzelspieler'!$A$2:$P$124,H$1,FALSE))</f>
        <v>96</v>
      </c>
      <c r="I79" s="34">
        <f>IF($B79="",0,VLOOKUP($B79,'Eingabe Einzelspieler'!$A$2:$P$124,I$1,FALSE))</f>
        <v>92</v>
      </c>
      <c r="J79" s="10">
        <f t="shared" si="67"/>
        <v>578</v>
      </c>
      <c r="K79" s="10">
        <f t="shared" si="68"/>
        <v>6</v>
      </c>
      <c r="L79" s="10">
        <f>IF($B79="",0,VLOOKUP($B79,'Eingabe Einzelspieler'!$A$2:$P$124,L$1,FALSE))</f>
        <v>0</v>
      </c>
      <c r="M79" s="10">
        <f>IF(('Eingabe Einzelspieler'!$I$125-1)&gt;K79,1,"")</f>
      </c>
      <c r="N79" s="10">
        <f>IF('Eingabe Einzelspieler'!$I$125=1,0,IF(K79='Eingabe Einzelspieler'!$I$125,1,0))</f>
        <v>1</v>
      </c>
      <c r="O79" s="10">
        <f t="shared" si="69"/>
        <v>101</v>
      </c>
      <c r="P79" s="10">
        <f t="shared" si="70"/>
        <v>477</v>
      </c>
      <c r="Q79" s="82">
        <f t="shared" si="71"/>
        <v>31.8</v>
      </c>
      <c r="R79" s="83">
        <f t="shared" si="72"/>
        <v>3</v>
      </c>
      <c r="S79" s="83">
        <f>COUNTIF(R$68:R79,R79)</f>
        <v>1</v>
      </c>
      <c r="T79" s="83">
        <f t="shared" si="73"/>
        <v>3</v>
      </c>
      <c r="U79" s="88">
        <f t="shared" si="74"/>
        <v>477.0003</v>
      </c>
      <c r="V79" s="34">
        <f t="shared" si="75"/>
        <v>12</v>
      </c>
      <c r="W79" s="88">
        <f t="shared" si="76"/>
        <v>2500.01</v>
      </c>
      <c r="X79" s="83">
        <f t="shared" si="77"/>
        <v>6</v>
      </c>
      <c r="Y79" s="12">
        <f t="shared" si="78"/>
        <v>12</v>
      </c>
      <c r="Z79" s="50">
        <f t="shared" si="79"/>
        <v>0</v>
      </c>
      <c r="AA79" s="52" t="str">
        <f t="shared" si="93"/>
        <v>Weinberger, G</v>
      </c>
      <c r="AB79" s="52" t="str">
        <f t="shared" si="93"/>
        <v>1.MGC Gelsenkirchen</v>
      </c>
      <c r="AC79" s="12" t="str">
        <f t="shared" si="93"/>
        <v>ADW</v>
      </c>
      <c r="AD79" s="55">
        <f t="shared" si="93"/>
      </c>
      <c r="AE79" s="56">
        <f t="shared" si="93"/>
      </c>
      <c r="AF79" s="12">
        <f t="shared" si="93"/>
        <v>0</v>
      </c>
      <c r="AG79" s="12">
        <f t="shared" si="93"/>
        <v>0</v>
      </c>
      <c r="AH79" s="12">
        <f t="shared" si="93"/>
        <v>0</v>
      </c>
      <c r="AI79" s="12">
        <f t="shared" si="93"/>
        <v>0</v>
      </c>
      <c r="AJ79" s="12">
        <f t="shared" si="93"/>
        <v>0</v>
      </c>
      <c r="AK79" s="12">
        <f t="shared" si="93"/>
        <v>104</v>
      </c>
    </row>
    <row r="80" spans="1:37" ht="12.75" hidden="1">
      <c r="A80" s="52">
        <v>13</v>
      </c>
      <c r="B80" s="14" t="str">
        <f>VLOOKUP($A80,'Eingabe Einzelspieler'!$N$2:$V$124,8,FALSE)</f>
        <v>Hauschke, K</v>
      </c>
      <c r="C80" s="14" t="str">
        <f>VLOOKUP($A80,'Eingabe Einzelspieler'!$N$2:$V$124,9,FALSE)</f>
        <v>BGC Uerdingen</v>
      </c>
      <c r="D80" s="34">
        <f>IF($B80="",0,VLOOKUP($B80,'Eingabe Einzelspieler'!$A$2:$P$124,D$1,FALSE))</f>
        <v>119</v>
      </c>
      <c r="E80" s="34">
        <f>IF($B80="",0,VLOOKUP($B80,'Eingabe Einzelspieler'!$A$2:$P$124,E$1,FALSE))</f>
        <v>101</v>
      </c>
      <c r="F80" s="34">
        <f>IF($B80="",0,VLOOKUP($B80,'Eingabe Einzelspieler'!$A$2:$P$124,F$1,FALSE))</f>
        <v>101</v>
      </c>
      <c r="G80" s="34">
        <f>IF($B80="",0,VLOOKUP($B80,'Eingabe Einzelspieler'!$A$2:$P$124,G$1,FALSE))</f>
        <v>95</v>
      </c>
      <c r="H80" s="34">
        <f>IF($B80="",0,VLOOKUP($B80,'Eingabe Einzelspieler'!$A$2:$P$124,H$1,FALSE))</f>
        <v>103</v>
      </c>
      <c r="I80" s="34">
        <f>IF($B80="",0,VLOOKUP($B80,'Eingabe Einzelspieler'!$A$2:$P$124,I$1,FALSE))</f>
        <v>94</v>
      </c>
      <c r="J80" s="10">
        <f t="shared" si="67"/>
        <v>613</v>
      </c>
      <c r="K80" s="10">
        <f t="shared" si="68"/>
        <v>6</v>
      </c>
      <c r="L80" s="10">
        <f>IF($B80="",0,VLOOKUP($B80,'Eingabe Einzelspieler'!$A$2:$P$124,L$1,FALSE))</f>
        <v>0</v>
      </c>
      <c r="M80" s="10">
        <f>IF(('Eingabe Einzelspieler'!$I$125-1)&gt;K80,1,"")</f>
      </c>
      <c r="N80" s="10">
        <f>IF('Eingabe Einzelspieler'!$I$125=1,0,IF(K80='Eingabe Einzelspieler'!$I$125,1,0))</f>
        <v>1</v>
      </c>
      <c r="O80" s="10">
        <f t="shared" si="69"/>
        <v>119</v>
      </c>
      <c r="P80" s="10">
        <f t="shared" si="70"/>
        <v>494</v>
      </c>
      <c r="Q80" s="82">
        <f t="shared" si="71"/>
        <v>32.93333333333333</v>
      </c>
      <c r="R80" s="83">
        <f t="shared" si="72"/>
        <v>5</v>
      </c>
      <c r="S80" s="83">
        <f>COUNTIF(R$68:R80,R80)</f>
        <v>1</v>
      </c>
      <c r="T80" s="83">
        <f t="shared" si="73"/>
        <v>5</v>
      </c>
      <c r="U80" s="88">
        <f t="shared" si="74"/>
        <v>494.0005</v>
      </c>
      <c r="V80" s="34">
        <f t="shared" si="75"/>
        <v>13</v>
      </c>
      <c r="W80" s="88">
        <f t="shared" si="76"/>
        <v>2500.0101</v>
      </c>
      <c r="X80" s="83">
        <f t="shared" si="77"/>
        <v>10</v>
      </c>
      <c r="Y80" s="12">
        <f t="shared" si="78"/>
        <v>13</v>
      </c>
      <c r="Z80" s="50">
        <f t="shared" si="79"/>
        <v>0</v>
      </c>
      <c r="AA80" s="52" t="str">
        <f t="shared" si="93"/>
        <v>Falterbaum, M</v>
      </c>
      <c r="AB80" s="52" t="str">
        <f t="shared" si="93"/>
        <v>MGC Neviges</v>
      </c>
      <c r="AC80" s="12" t="str">
        <f t="shared" si="93"/>
        <v>ADW</v>
      </c>
      <c r="AD80" s="55">
        <f t="shared" si="93"/>
      </c>
      <c r="AE80" s="56">
        <f t="shared" si="93"/>
      </c>
      <c r="AF80" s="12">
        <f t="shared" si="93"/>
        <v>104</v>
      </c>
      <c r="AG80" s="12">
        <f t="shared" si="93"/>
        <v>106</v>
      </c>
      <c r="AH80" s="12">
        <f t="shared" si="93"/>
        <v>100</v>
      </c>
      <c r="AI80" s="12">
        <f t="shared" si="93"/>
        <v>0</v>
      </c>
      <c r="AJ80" s="12">
        <f t="shared" si="93"/>
        <v>101</v>
      </c>
      <c r="AK80" s="12">
        <f t="shared" si="93"/>
        <v>0</v>
      </c>
    </row>
    <row r="81" ht="12.75">
      <c r="W81" s="89"/>
    </row>
    <row r="82" spans="2:26" ht="12.75">
      <c r="B82" s="87" t="s">
        <v>41</v>
      </c>
      <c r="W82" s="89"/>
      <c r="Y82" s="64" t="str">
        <f>B82</f>
        <v>Senioren männlich II</v>
      </c>
      <c r="Z82" s="79"/>
    </row>
    <row r="83" spans="1:37" ht="12.75">
      <c r="A83" s="52">
        <v>1</v>
      </c>
      <c r="B83" s="14" t="str">
        <f>VLOOKUP($A83,'Eingabe Einzelspieler'!$O$2:$V$124,7,FALSE)</f>
        <v>Boßhammer, W</v>
      </c>
      <c r="C83" s="14" t="str">
        <f>VLOOKUP($A83,'Eingabe Einzelspieler'!$O$2:$V$124,8,FALSE)</f>
        <v>MGC "AS" Witten</v>
      </c>
      <c r="D83" s="34">
        <f>IF($B83="",0,VLOOKUP($B83,'Eingabe Einzelspieler'!$A$2:$P$124,D$1,FALSE))</f>
        <v>113</v>
      </c>
      <c r="E83" s="34">
        <f>IF($B83="",0,VLOOKUP($B83,'Eingabe Einzelspieler'!$A$2:$P$124,E$1,FALSE))</f>
        <v>102</v>
      </c>
      <c r="F83" s="34">
        <f>IF($B83="",0,VLOOKUP($B83,'Eingabe Einzelspieler'!$A$2:$P$124,F$1,FALSE))</f>
        <v>111</v>
      </c>
      <c r="G83" s="34">
        <f>IF($B83="",0,VLOOKUP($B83,'Eingabe Einzelspieler'!$A$2:$P$124,G$1,FALSE))</f>
        <v>105</v>
      </c>
      <c r="H83" s="34">
        <f>IF($B83="",0,VLOOKUP($B83,'Eingabe Einzelspieler'!$A$2:$P$124,H$1,FALSE))</f>
        <v>96</v>
      </c>
      <c r="I83" s="34">
        <f>IF($B83="",0,VLOOKUP($B83,'Eingabe Einzelspieler'!$A$2:$P$124,I$1,FALSE))</f>
        <v>109</v>
      </c>
      <c r="J83" s="10">
        <f>SUM(D83:I83)</f>
        <v>636</v>
      </c>
      <c r="K83" s="10">
        <f>COUNTIF(D83:I83,"&gt;0")</f>
        <v>6</v>
      </c>
      <c r="L83" s="10">
        <f>IF($B83="",0,VLOOKUP($B83,'Eingabe Einzelspieler'!$A$2:$P$124,L$1,FALSE))</f>
        <v>0</v>
      </c>
      <c r="M83" s="10">
        <f>IF(('Eingabe Einzelspieler'!$I$125-1)&gt;K83,1,"")</f>
      </c>
      <c r="N83" s="10">
        <f>IF('Eingabe Einzelspieler'!$I$125=1,0,IF(K83='Eingabe Einzelspieler'!$I$125,1,0))</f>
        <v>1</v>
      </c>
      <c r="O83" s="10">
        <f>IF(N83=1,LARGE(D83:I83,1),"")</f>
        <v>113</v>
      </c>
      <c r="P83" s="10">
        <f>IF(M83=1,"ADW",IF(N83=1,SUM(J83-O83),J83))</f>
        <v>523</v>
      </c>
      <c r="Q83" s="82">
        <f>IF(J83=0,0,IF(AND(K83=1,N83=1),J83/3,IF(M83=1,"",IF(N83=0,P83/K83/3,P83/(K83-N83)/3))))</f>
        <v>34.86666666666667</v>
      </c>
      <c r="R83" s="83">
        <f aca="true" t="shared" si="94" ref="R83:R99">IF(M83=1,100,RANK(P83,$P$83:$P$99,1))</f>
        <v>13</v>
      </c>
      <c r="S83" s="83">
        <f>COUNTIF(R$83:R83,R83)</f>
        <v>1</v>
      </c>
      <c r="T83" s="83">
        <f>R83+S83-1</f>
        <v>13</v>
      </c>
      <c r="U83" s="88">
        <f>IF(M83=1,2500+(T83/10000),P83+(T83/10000)+(L83/10))</f>
        <v>523.0013</v>
      </c>
      <c r="V83" s="34">
        <f>A83</f>
        <v>1</v>
      </c>
      <c r="W83" s="88">
        <f aca="true" t="shared" si="95" ref="W83:W99">SMALL(U$83:U$99,A83)</f>
        <v>451.0001</v>
      </c>
      <c r="X83" s="83">
        <f aca="true" t="shared" si="96" ref="X83:X99">VLOOKUP(W83,U$83:V$99,$X$1,FALSE)</f>
        <v>9</v>
      </c>
      <c r="Y83" s="12">
        <f>A83</f>
        <v>1</v>
      </c>
      <c r="Z83" s="50">
        <f aca="true" t="shared" si="97" ref="Z83:Z99">IF(VLOOKUP($X83,$A$83:$X$99,Z$1,FALSE)&gt;0,"x",0)</f>
        <v>0</v>
      </c>
      <c r="AA83" s="52" t="str">
        <f aca="true" t="shared" si="98" ref="AA83:AK93">VLOOKUP($X83,$A$83:$X$99,AA$1,FALSE)</f>
        <v>Reimer, W</v>
      </c>
      <c r="AB83" s="52" t="str">
        <f t="shared" si="98"/>
        <v>1.MGC Gelsenkirchen</v>
      </c>
      <c r="AC83" s="12">
        <f t="shared" si="98"/>
        <v>451</v>
      </c>
      <c r="AD83" s="55">
        <f t="shared" si="98"/>
        <v>101</v>
      </c>
      <c r="AE83" s="56">
        <f t="shared" si="98"/>
        <v>30.066666666666666</v>
      </c>
      <c r="AF83" s="12">
        <f t="shared" si="98"/>
        <v>101</v>
      </c>
      <c r="AG83" s="12">
        <f t="shared" si="98"/>
        <v>89</v>
      </c>
      <c r="AH83" s="12">
        <f t="shared" si="98"/>
        <v>85</v>
      </c>
      <c r="AI83" s="12">
        <f t="shared" si="98"/>
        <v>85</v>
      </c>
      <c r="AJ83" s="12">
        <f t="shared" si="98"/>
        <v>99</v>
      </c>
      <c r="AK83" s="12">
        <f t="shared" si="98"/>
        <v>93</v>
      </c>
    </row>
    <row r="84" spans="1:37" ht="12.75">
      <c r="A84" s="52">
        <v>2</v>
      </c>
      <c r="B84" s="14" t="str">
        <f>VLOOKUP($A84,'Eingabe Einzelspieler'!$O$2:$V$124,7,FALSE)</f>
        <v>Gärtig, H</v>
      </c>
      <c r="C84" s="14" t="str">
        <f>VLOOKUP($A84,'Eingabe Einzelspieler'!$O$2:$V$124,8,FALSE)</f>
        <v>MGC "AS" Witten</v>
      </c>
      <c r="D84" s="34">
        <f>IF($B84="",0,VLOOKUP($B84,'Eingabe Einzelspieler'!$A$2:$P$124,D$1,FALSE))</f>
        <v>120</v>
      </c>
      <c r="E84" s="34">
        <f>IF($B84="",0,VLOOKUP($B84,'Eingabe Einzelspieler'!$A$2:$P$124,E$1,FALSE))</f>
        <v>116</v>
      </c>
      <c r="F84" s="34">
        <f>IF($B84="",0,VLOOKUP($B84,'Eingabe Einzelspieler'!$A$2:$P$124,F$1,FALSE))</f>
        <v>104</v>
      </c>
      <c r="G84" s="34">
        <f>IF($B84="",0,VLOOKUP($B84,'Eingabe Einzelspieler'!$A$2:$P$124,G$1,FALSE))</f>
        <v>118</v>
      </c>
      <c r="H84" s="34">
        <f>IF($B84="",0,VLOOKUP($B84,'Eingabe Einzelspieler'!$A$2:$P$124,H$1,FALSE))</f>
        <v>0</v>
      </c>
      <c r="I84" s="34">
        <f>IF($B84="",0,VLOOKUP($B84,'Eingabe Einzelspieler'!$A$2:$P$124,I$1,FALSE))</f>
        <v>0</v>
      </c>
      <c r="J84" s="10">
        <f>SUM(D84:I84)</f>
        <v>458</v>
      </c>
      <c r="K84" s="10">
        <f>COUNTIF(D84:I84,"&gt;0")</f>
        <v>4</v>
      </c>
      <c r="L84" s="10">
        <f>IF($B84="",0,VLOOKUP($B84,'Eingabe Einzelspieler'!$A$2:$P$124,L$1,FALSE))</f>
        <v>0</v>
      </c>
      <c r="M84" s="10">
        <f>IF(('Eingabe Einzelspieler'!$I$125-1)&gt;K84,1,"")</f>
        <v>1</v>
      </c>
      <c r="N84" s="10">
        <f>IF('Eingabe Einzelspieler'!$I$125=1,0,IF(K84='Eingabe Einzelspieler'!$I$125,1,0))</f>
        <v>0</v>
      </c>
      <c r="O84" s="10">
        <f>IF(N84=1,LARGE(D84:I84,1),"")</f>
      </c>
      <c r="P84" s="10" t="str">
        <f>IF(M84=1,"ADW",IF(N84=1,SUM(J84-O84),J84))</f>
        <v>ADW</v>
      </c>
      <c r="Q84" s="82">
        <f>IF(J84=0,0,IF(AND(K84=1,N84=1),J84/3,IF(M84=1,"",IF(N84=0,P84/K84/3,P84/(K84-N84)/3))))</f>
      </c>
      <c r="R84" s="83">
        <f t="shared" si="94"/>
        <v>100</v>
      </c>
      <c r="S84" s="83">
        <f>COUNTIF(R$83:R84,R84)</f>
        <v>1</v>
      </c>
      <c r="T84" s="83">
        <f>R84+S84-1</f>
        <v>100</v>
      </c>
      <c r="U84" s="88">
        <f>IF(M84=1,2500+(T84/10000),P84+(T84/10000)+(L84/10))</f>
        <v>2500.01</v>
      </c>
      <c r="V84" s="34">
        <f>A84</f>
        <v>2</v>
      </c>
      <c r="W84" s="88">
        <f t="shared" si="95"/>
        <v>457.0002</v>
      </c>
      <c r="X84" s="83">
        <f t="shared" si="96"/>
        <v>5</v>
      </c>
      <c r="Y84" s="12">
        <f>A84</f>
        <v>2</v>
      </c>
      <c r="Z84" s="50">
        <f t="shared" si="97"/>
        <v>0</v>
      </c>
      <c r="AA84" s="101" t="str">
        <f t="shared" si="98"/>
        <v>Lenk, R</v>
      </c>
      <c r="AB84" s="101" t="str">
        <f t="shared" si="98"/>
        <v>MGC "AS" Witten</v>
      </c>
      <c r="AC84" s="102">
        <f t="shared" si="98"/>
        <v>457</v>
      </c>
      <c r="AD84" s="55">
        <f t="shared" si="98"/>
        <v>98</v>
      </c>
      <c r="AE84" s="56">
        <f t="shared" si="98"/>
        <v>30.46666666666667</v>
      </c>
      <c r="AF84" s="12">
        <f t="shared" si="98"/>
        <v>90</v>
      </c>
      <c r="AG84" s="12">
        <f t="shared" si="98"/>
        <v>96</v>
      </c>
      <c r="AH84" s="12">
        <f t="shared" si="98"/>
        <v>92</v>
      </c>
      <c r="AI84" s="12">
        <f t="shared" si="98"/>
        <v>98</v>
      </c>
      <c r="AJ84" s="12">
        <f t="shared" si="98"/>
        <v>92</v>
      </c>
      <c r="AK84" s="12">
        <f t="shared" si="98"/>
        <v>87</v>
      </c>
    </row>
    <row r="85" spans="1:37" ht="12.75">
      <c r="A85" s="52">
        <v>3</v>
      </c>
      <c r="B85" s="14" t="str">
        <f>VLOOKUP($A85,'Eingabe Einzelspieler'!$O$2:$V$124,7,FALSE)</f>
        <v>Krüger, S</v>
      </c>
      <c r="C85" s="14" t="str">
        <f>VLOOKUP($A85,'Eingabe Einzelspieler'!$O$2:$V$124,8,FALSE)</f>
        <v>MGC "AS" Witten</v>
      </c>
      <c r="D85" s="34">
        <f>IF($B85="",0,VLOOKUP($B85,'Eingabe Einzelspieler'!$A$2:$P$124,D$1,FALSE))</f>
        <v>93</v>
      </c>
      <c r="E85" s="34">
        <f>IF($B85="",0,VLOOKUP($B85,'Eingabe Einzelspieler'!$A$2:$P$124,E$1,FALSE))</f>
        <v>95</v>
      </c>
      <c r="F85" s="34">
        <f>IF($B85="",0,VLOOKUP($B85,'Eingabe Einzelspieler'!$A$2:$P$124,F$1,FALSE))</f>
        <v>108</v>
      </c>
      <c r="G85" s="34">
        <f>IF($B85="",0,VLOOKUP($B85,'Eingabe Einzelspieler'!$A$2:$P$124,G$1,FALSE))</f>
        <v>106</v>
      </c>
      <c r="H85" s="34">
        <f>IF($B85="",0,VLOOKUP($B85,'Eingabe Einzelspieler'!$A$2:$P$124,H$1,FALSE))</f>
        <v>98</v>
      </c>
      <c r="I85" s="34">
        <f>IF($B85="",0,VLOOKUP($B85,'Eingabe Einzelspieler'!$A$2:$P$124,I$1,FALSE))</f>
        <v>112</v>
      </c>
      <c r="J85" s="10">
        <f>SUM(D85:I85)</f>
        <v>612</v>
      </c>
      <c r="K85" s="10">
        <f>COUNTIF(D85:I85,"&gt;0")</f>
        <v>6</v>
      </c>
      <c r="L85" s="10">
        <f>IF($B85="",0,VLOOKUP($B85,'Eingabe Einzelspieler'!$A$2:$P$124,L$1,FALSE))</f>
        <v>0</v>
      </c>
      <c r="M85" s="10">
        <f>IF(('Eingabe Einzelspieler'!$I$125-1)&gt;K85,1,"")</f>
      </c>
      <c r="N85" s="10">
        <f>IF('Eingabe Einzelspieler'!$I$125=1,0,IF(K85='Eingabe Einzelspieler'!$I$125,1,0))</f>
        <v>1</v>
      </c>
      <c r="O85" s="10">
        <f>IF(N85=1,LARGE(D85:I85,1),"")</f>
        <v>112</v>
      </c>
      <c r="P85" s="10">
        <f>IF(M85=1,"ADW",IF(N85=1,SUM(J85-O85),J85))</f>
        <v>500</v>
      </c>
      <c r="Q85" s="82">
        <f>IF(J85=0,0,IF(AND(K85=1,N85=1),J85/3,IF(M85=1,"",IF(N85=0,P85/K85/3,P85/(K85-N85)/3))))</f>
        <v>33.333333333333336</v>
      </c>
      <c r="R85" s="83">
        <f t="shared" si="94"/>
        <v>10</v>
      </c>
      <c r="S85" s="83">
        <f>COUNTIF(R$83:R85,R85)</f>
        <v>1</v>
      </c>
      <c r="T85" s="83">
        <f>R85+S85-1</f>
        <v>10</v>
      </c>
      <c r="U85" s="88">
        <f>IF(M85=1,2500+(T85/10000),P85+(T85/10000)+(L85/10))</f>
        <v>500.001</v>
      </c>
      <c r="V85" s="34">
        <f>A85</f>
        <v>3</v>
      </c>
      <c r="W85" s="88">
        <f t="shared" si="95"/>
        <v>466.0003</v>
      </c>
      <c r="X85" s="83">
        <f t="shared" si="96"/>
        <v>11</v>
      </c>
      <c r="Y85" s="12">
        <f>A85</f>
        <v>3</v>
      </c>
      <c r="Z85" s="50">
        <f t="shared" si="97"/>
        <v>0</v>
      </c>
      <c r="AA85" s="52" t="str">
        <f t="shared" si="98"/>
        <v>Weinberger, H</v>
      </c>
      <c r="AB85" s="52" t="str">
        <f t="shared" si="98"/>
        <v>1.MGC Gelsenkirchen</v>
      </c>
      <c r="AC85" s="12">
        <f t="shared" si="98"/>
        <v>466</v>
      </c>
      <c r="AD85" s="55">
        <f t="shared" si="98"/>
        <v>107</v>
      </c>
      <c r="AE85" s="56">
        <f t="shared" si="98"/>
        <v>31.066666666666666</v>
      </c>
      <c r="AF85" s="12">
        <f t="shared" si="98"/>
        <v>107</v>
      </c>
      <c r="AG85" s="12">
        <f t="shared" si="98"/>
        <v>97</v>
      </c>
      <c r="AH85" s="12">
        <f t="shared" si="98"/>
        <v>89</v>
      </c>
      <c r="AI85" s="12">
        <f t="shared" si="98"/>
        <v>93</v>
      </c>
      <c r="AJ85" s="12">
        <f t="shared" si="98"/>
        <v>95</v>
      </c>
      <c r="AK85" s="12">
        <f t="shared" si="98"/>
        <v>92</v>
      </c>
    </row>
    <row r="86" spans="1:37" ht="12.75">
      <c r="A86" s="52">
        <v>4</v>
      </c>
      <c r="B86" s="14" t="str">
        <f>VLOOKUP($A86,'Eingabe Einzelspieler'!$O$2:$V$124,7,FALSE)</f>
        <v>Lange, D</v>
      </c>
      <c r="C86" s="14" t="str">
        <f>VLOOKUP($A86,'Eingabe Einzelspieler'!$O$2:$V$124,8,FALSE)</f>
        <v>MGC "AS" Witten</v>
      </c>
      <c r="D86" s="34">
        <f>IF($B86="",0,VLOOKUP($B86,'Eingabe Einzelspieler'!$A$2:$P$124,D$1,FALSE))</f>
        <v>92</v>
      </c>
      <c r="E86" s="34">
        <f>IF($B86="",0,VLOOKUP($B86,'Eingabe Einzelspieler'!$A$2:$P$124,E$1,FALSE))</f>
        <v>102</v>
      </c>
      <c r="F86" s="34">
        <f>IF($B86="",0,VLOOKUP($B86,'Eingabe Einzelspieler'!$A$2:$P$124,F$1,FALSE))</f>
        <v>99</v>
      </c>
      <c r="G86" s="34">
        <f>IF($B86="",0,VLOOKUP($B86,'Eingabe Einzelspieler'!$A$2:$P$124,G$1,FALSE))</f>
        <v>94</v>
      </c>
      <c r="H86" s="34">
        <f>IF($B86="",0,VLOOKUP($B86,'Eingabe Einzelspieler'!$A$2:$P$124,H$1,FALSE))</f>
        <v>96</v>
      </c>
      <c r="I86" s="34">
        <f>IF($B86="",0,VLOOKUP($B86,'Eingabe Einzelspieler'!$A$2:$P$124,I$1,FALSE))</f>
        <v>94</v>
      </c>
      <c r="J86" s="10">
        <f aca="true" t="shared" si="99" ref="J86:J92">SUM(D86:I86)</f>
        <v>577</v>
      </c>
      <c r="K86" s="10">
        <f aca="true" t="shared" si="100" ref="K86:K92">COUNTIF(D86:I86,"&gt;0")</f>
        <v>6</v>
      </c>
      <c r="L86" s="10">
        <f>IF($B86="",0,VLOOKUP($B86,'Eingabe Einzelspieler'!$A$2:$P$124,L$1,FALSE))</f>
        <v>0</v>
      </c>
      <c r="M86" s="10">
        <f>IF(('Eingabe Einzelspieler'!$I$125-1)&gt;K86,1,"")</f>
      </c>
      <c r="N86" s="10">
        <f>IF('Eingabe Einzelspieler'!$I$125=1,0,IF(K86='Eingabe Einzelspieler'!$I$125,1,0))</f>
        <v>1</v>
      </c>
      <c r="O86" s="10">
        <f aca="true" t="shared" si="101" ref="O86:O92">IF(N86=1,LARGE(D86:I86,1),"")</f>
        <v>102</v>
      </c>
      <c r="P86" s="10">
        <f aca="true" t="shared" si="102" ref="P86:P92">IF(M86=1,"ADW",IF(N86=1,SUM(J86-O86),J86))</f>
        <v>475</v>
      </c>
      <c r="Q86" s="82">
        <f aca="true" t="shared" si="103" ref="Q86:Q92">IF(J86=0,0,IF(AND(K86=1,N86=1),J86/3,IF(M86=1,"",IF(N86=0,P86/K86/3,P86/(K86-N86)/3))))</f>
        <v>31.666666666666668</v>
      </c>
      <c r="R86" s="83">
        <f t="shared" si="94"/>
        <v>6</v>
      </c>
      <c r="S86" s="83">
        <f>COUNTIF(R$83:R86,R86)</f>
        <v>1</v>
      </c>
      <c r="T86" s="83">
        <f aca="true" t="shared" si="104" ref="T86:T92">R86+S86-1</f>
        <v>6</v>
      </c>
      <c r="U86" s="88">
        <f aca="true" t="shared" si="105" ref="U86:U92">IF(M86=1,2500+(T86/10000),P86+(T86/10000)+(L86/10))</f>
        <v>475.0006</v>
      </c>
      <c r="V86" s="34">
        <f aca="true" t="shared" si="106" ref="V86:V92">A86</f>
        <v>4</v>
      </c>
      <c r="W86" s="88">
        <f t="shared" si="95"/>
        <v>473.0004</v>
      </c>
      <c r="X86" s="83">
        <f t="shared" si="96"/>
        <v>7</v>
      </c>
      <c r="Y86" s="12">
        <f aca="true" t="shared" si="107" ref="Y86:Y92">A86</f>
        <v>4</v>
      </c>
      <c r="Z86" s="50">
        <f t="shared" si="97"/>
        <v>0</v>
      </c>
      <c r="AA86" s="52" t="str">
        <f t="shared" si="98"/>
        <v>Barschdorf, F</v>
      </c>
      <c r="AB86" s="52" t="str">
        <f t="shared" si="98"/>
        <v>1.MGC Gelsenkirchen</v>
      </c>
      <c r="AC86" s="12">
        <f t="shared" si="98"/>
        <v>473</v>
      </c>
      <c r="AD86" s="55">
        <f t="shared" si="98"/>
        <v>98</v>
      </c>
      <c r="AE86" s="56">
        <f t="shared" si="98"/>
        <v>31.53333333333333</v>
      </c>
      <c r="AF86" s="12">
        <f t="shared" si="98"/>
        <v>98</v>
      </c>
      <c r="AG86" s="12">
        <f t="shared" si="98"/>
        <v>92</v>
      </c>
      <c r="AH86" s="12">
        <f t="shared" si="98"/>
        <v>94</v>
      </c>
      <c r="AI86" s="12">
        <f t="shared" si="98"/>
        <v>98</v>
      </c>
      <c r="AJ86" s="12">
        <f t="shared" si="98"/>
        <v>93</v>
      </c>
      <c r="AK86" s="12">
        <f t="shared" si="98"/>
        <v>96</v>
      </c>
    </row>
    <row r="87" spans="1:37" ht="12.75">
      <c r="A87" s="52">
        <v>5</v>
      </c>
      <c r="B87" s="14" t="str">
        <f>VLOOKUP($A87,'Eingabe Einzelspieler'!$O$2:$V$124,7,FALSE)</f>
        <v>Lenk, R</v>
      </c>
      <c r="C87" s="14" t="str">
        <f>VLOOKUP($A87,'Eingabe Einzelspieler'!$O$2:$V$124,8,FALSE)</f>
        <v>MGC "AS" Witten</v>
      </c>
      <c r="D87" s="34">
        <f>IF($B87="",0,VLOOKUP($B87,'Eingabe Einzelspieler'!$A$2:$P$124,D$1,FALSE))</f>
        <v>90</v>
      </c>
      <c r="E87" s="34">
        <f>IF($B87="",0,VLOOKUP($B87,'Eingabe Einzelspieler'!$A$2:$P$124,E$1,FALSE))</f>
        <v>96</v>
      </c>
      <c r="F87" s="34">
        <f>IF($B87="",0,VLOOKUP($B87,'Eingabe Einzelspieler'!$A$2:$P$124,F$1,FALSE))</f>
        <v>92</v>
      </c>
      <c r="G87" s="34">
        <f>IF($B87="",0,VLOOKUP($B87,'Eingabe Einzelspieler'!$A$2:$P$124,G$1,FALSE))</f>
        <v>98</v>
      </c>
      <c r="H87" s="34">
        <f>IF($B87="",0,VLOOKUP($B87,'Eingabe Einzelspieler'!$A$2:$P$124,H$1,FALSE))</f>
        <v>92</v>
      </c>
      <c r="I87" s="34">
        <f>IF($B87="",0,VLOOKUP($B87,'Eingabe Einzelspieler'!$A$2:$P$124,I$1,FALSE))</f>
        <v>87</v>
      </c>
      <c r="J87" s="10">
        <f t="shared" si="99"/>
        <v>555</v>
      </c>
      <c r="K87" s="10">
        <f t="shared" si="100"/>
        <v>6</v>
      </c>
      <c r="L87" s="10">
        <f>IF($B87="",0,VLOOKUP($B87,'Eingabe Einzelspieler'!$A$2:$P$124,L$1,FALSE))</f>
        <v>0</v>
      </c>
      <c r="M87" s="10">
        <f>IF(('Eingabe Einzelspieler'!$I$125-1)&gt;K87,1,"")</f>
      </c>
      <c r="N87" s="10">
        <f>IF('Eingabe Einzelspieler'!$I$125=1,0,IF(K87='Eingabe Einzelspieler'!$I$125,1,0))</f>
        <v>1</v>
      </c>
      <c r="O87" s="10">
        <f t="shared" si="101"/>
        <v>98</v>
      </c>
      <c r="P87" s="10">
        <f t="shared" si="102"/>
        <v>457</v>
      </c>
      <c r="Q87" s="82">
        <f t="shared" si="103"/>
        <v>30.46666666666667</v>
      </c>
      <c r="R87" s="83">
        <f t="shared" si="94"/>
        <v>2</v>
      </c>
      <c r="S87" s="83">
        <f>COUNTIF(R$83:R87,R87)</f>
        <v>1</v>
      </c>
      <c r="T87" s="83">
        <f t="shared" si="104"/>
        <v>2</v>
      </c>
      <c r="U87" s="88">
        <f t="shared" si="105"/>
        <v>457.0002</v>
      </c>
      <c r="V87" s="34">
        <f t="shared" si="106"/>
        <v>5</v>
      </c>
      <c r="W87" s="88">
        <f t="shared" si="95"/>
        <v>474.0005</v>
      </c>
      <c r="X87" s="83">
        <f t="shared" si="96"/>
        <v>17</v>
      </c>
      <c r="Y87" s="12">
        <f t="shared" si="107"/>
        <v>5</v>
      </c>
      <c r="Z87" s="50">
        <f t="shared" si="97"/>
        <v>0</v>
      </c>
      <c r="AA87" s="52" t="str">
        <f t="shared" si="98"/>
        <v>Hauschke, D</v>
      </c>
      <c r="AB87" s="52" t="str">
        <f t="shared" si="98"/>
        <v>BGC Uerdingen</v>
      </c>
      <c r="AC87" s="12">
        <f t="shared" si="98"/>
        <v>474</v>
      </c>
      <c r="AD87" s="55">
        <f t="shared" si="98"/>
        <v>99</v>
      </c>
      <c r="AE87" s="56">
        <f t="shared" si="98"/>
        <v>31.599999999999998</v>
      </c>
      <c r="AF87" s="12">
        <f t="shared" si="98"/>
        <v>98</v>
      </c>
      <c r="AG87" s="12">
        <f t="shared" si="98"/>
        <v>95</v>
      </c>
      <c r="AH87" s="12">
        <f t="shared" si="98"/>
        <v>97</v>
      </c>
      <c r="AI87" s="12">
        <f t="shared" si="98"/>
        <v>92</v>
      </c>
      <c r="AJ87" s="12">
        <f t="shared" si="98"/>
        <v>99</v>
      </c>
      <c r="AK87" s="12">
        <f t="shared" si="98"/>
        <v>92</v>
      </c>
    </row>
    <row r="88" spans="1:37" ht="12.75">
      <c r="A88" s="52">
        <v>6</v>
      </c>
      <c r="B88" s="14" t="str">
        <f>VLOOKUP($A88,'Eingabe Einzelspieler'!$O$2:$V$124,7,FALSE)</f>
        <v>Thurmann, Di</v>
      </c>
      <c r="C88" s="14" t="str">
        <f>VLOOKUP($A88,'Eingabe Einzelspieler'!$O$2:$V$124,8,FALSE)</f>
        <v>MGC "AS" Witten</v>
      </c>
      <c r="D88" s="34">
        <f>IF($B88="",0,VLOOKUP($B88,'Eingabe Einzelspieler'!$A$2:$P$124,D$1,FALSE))</f>
        <v>101</v>
      </c>
      <c r="E88" s="34">
        <f>IF($B88="",0,VLOOKUP($B88,'Eingabe Einzelspieler'!$A$2:$P$124,E$1,FALSE))</f>
        <v>106</v>
      </c>
      <c r="F88" s="34">
        <f>IF($B88="",0,VLOOKUP($B88,'Eingabe Einzelspieler'!$A$2:$P$124,F$1,FALSE))</f>
        <v>97</v>
      </c>
      <c r="G88" s="34">
        <f>IF($B88="",0,VLOOKUP($B88,'Eingabe Einzelspieler'!$A$2:$P$124,G$1,FALSE))</f>
        <v>106</v>
      </c>
      <c r="H88" s="34">
        <f>IF($B88="",0,VLOOKUP($B88,'Eingabe Einzelspieler'!$A$2:$P$124,H$1,FALSE))</f>
        <v>100</v>
      </c>
      <c r="I88" s="34">
        <f>IF($B88="",0,VLOOKUP($B88,'Eingabe Einzelspieler'!$A$2:$P$124,I$1,FALSE))</f>
        <v>93</v>
      </c>
      <c r="J88" s="10">
        <f t="shared" si="99"/>
        <v>603</v>
      </c>
      <c r="K88" s="10">
        <f t="shared" si="100"/>
        <v>6</v>
      </c>
      <c r="L88" s="10">
        <f>IF($B88="",0,VLOOKUP($B88,'Eingabe Einzelspieler'!$A$2:$P$124,L$1,FALSE))</f>
        <v>0</v>
      </c>
      <c r="M88" s="10">
        <f>IF(('Eingabe Einzelspieler'!$I$125-1)&gt;K88,1,"")</f>
      </c>
      <c r="N88" s="10">
        <f>IF('Eingabe Einzelspieler'!$I$125=1,0,IF(K88='Eingabe Einzelspieler'!$I$125,1,0))</f>
        <v>1</v>
      </c>
      <c r="O88" s="10">
        <f t="shared" si="101"/>
        <v>106</v>
      </c>
      <c r="P88" s="10">
        <f t="shared" si="102"/>
        <v>497</v>
      </c>
      <c r="Q88" s="82">
        <f t="shared" si="103"/>
        <v>33.13333333333333</v>
      </c>
      <c r="R88" s="83">
        <f t="shared" si="94"/>
        <v>9</v>
      </c>
      <c r="S88" s="83">
        <f>COUNTIF(R$83:R88,R88)</f>
        <v>1</v>
      </c>
      <c r="T88" s="83">
        <f t="shared" si="104"/>
        <v>9</v>
      </c>
      <c r="U88" s="88">
        <f t="shared" si="105"/>
        <v>497.0009</v>
      </c>
      <c r="V88" s="34">
        <f t="shared" si="106"/>
        <v>6</v>
      </c>
      <c r="W88" s="88">
        <f t="shared" si="95"/>
        <v>475.0006</v>
      </c>
      <c r="X88" s="83">
        <f t="shared" si="96"/>
        <v>4</v>
      </c>
      <c r="Y88" s="12">
        <f t="shared" si="107"/>
        <v>6</v>
      </c>
      <c r="Z88" s="50">
        <f t="shared" si="97"/>
        <v>0</v>
      </c>
      <c r="AA88" s="101" t="str">
        <f t="shared" si="98"/>
        <v>Lange, D</v>
      </c>
      <c r="AB88" s="101" t="str">
        <f t="shared" si="98"/>
        <v>MGC "AS" Witten</v>
      </c>
      <c r="AC88" s="102">
        <f t="shared" si="98"/>
        <v>475</v>
      </c>
      <c r="AD88" s="55">
        <f t="shared" si="98"/>
        <v>102</v>
      </c>
      <c r="AE88" s="56">
        <f t="shared" si="98"/>
        <v>31.666666666666668</v>
      </c>
      <c r="AF88" s="12">
        <f t="shared" si="98"/>
        <v>92</v>
      </c>
      <c r="AG88" s="12">
        <f t="shared" si="98"/>
        <v>102</v>
      </c>
      <c r="AH88" s="12">
        <f t="shared" si="98"/>
        <v>99</v>
      </c>
      <c r="AI88" s="12">
        <f t="shared" si="98"/>
        <v>94</v>
      </c>
      <c r="AJ88" s="12">
        <f t="shared" si="98"/>
        <v>96</v>
      </c>
      <c r="AK88" s="12">
        <f t="shared" si="98"/>
        <v>94</v>
      </c>
    </row>
    <row r="89" spans="1:37" ht="12.75">
      <c r="A89" s="52">
        <v>7</v>
      </c>
      <c r="B89" s="14" t="str">
        <f>VLOOKUP($A89,'Eingabe Einzelspieler'!$O$2:$V$124,7,FALSE)</f>
        <v>Barschdorf, F</v>
      </c>
      <c r="C89" s="14" t="str">
        <f>VLOOKUP($A89,'Eingabe Einzelspieler'!$O$2:$V$124,8,FALSE)</f>
        <v>1.MGC Gelsenkirchen</v>
      </c>
      <c r="D89" s="34">
        <f>IF($B89="",0,VLOOKUP($B89,'Eingabe Einzelspieler'!$A$2:$P$124,D$1,FALSE))</f>
        <v>98</v>
      </c>
      <c r="E89" s="34">
        <f>IF($B89="",0,VLOOKUP($B89,'Eingabe Einzelspieler'!$A$2:$P$124,E$1,FALSE))</f>
        <v>92</v>
      </c>
      <c r="F89" s="34">
        <f>IF($B89="",0,VLOOKUP($B89,'Eingabe Einzelspieler'!$A$2:$P$124,F$1,FALSE))</f>
        <v>94</v>
      </c>
      <c r="G89" s="34">
        <f>IF($B89="",0,VLOOKUP($B89,'Eingabe Einzelspieler'!$A$2:$P$124,G$1,FALSE))</f>
        <v>98</v>
      </c>
      <c r="H89" s="34">
        <f>IF($B89="",0,VLOOKUP($B89,'Eingabe Einzelspieler'!$A$2:$P$124,H$1,FALSE))</f>
        <v>93</v>
      </c>
      <c r="I89" s="34">
        <f>IF($B89="",0,VLOOKUP($B89,'Eingabe Einzelspieler'!$A$2:$P$124,I$1,FALSE))</f>
        <v>96</v>
      </c>
      <c r="J89" s="10">
        <f t="shared" si="99"/>
        <v>571</v>
      </c>
      <c r="K89" s="10">
        <f t="shared" si="100"/>
        <v>6</v>
      </c>
      <c r="L89" s="10">
        <f>IF($B89="",0,VLOOKUP($B89,'Eingabe Einzelspieler'!$A$2:$P$124,L$1,FALSE))</f>
        <v>0</v>
      </c>
      <c r="M89" s="10">
        <f>IF(('Eingabe Einzelspieler'!$I$125-1)&gt;K89,1,"")</f>
      </c>
      <c r="N89" s="10">
        <f>IF('Eingabe Einzelspieler'!$I$125=1,0,IF(K89='Eingabe Einzelspieler'!$I$125,1,0))</f>
        <v>1</v>
      </c>
      <c r="O89" s="10">
        <f t="shared" si="101"/>
        <v>98</v>
      </c>
      <c r="P89" s="10">
        <f t="shared" si="102"/>
        <v>473</v>
      </c>
      <c r="Q89" s="82">
        <f t="shared" si="103"/>
        <v>31.53333333333333</v>
      </c>
      <c r="R89" s="83">
        <f t="shared" si="94"/>
        <v>4</v>
      </c>
      <c r="S89" s="83">
        <f>COUNTIF(R$83:R89,R89)</f>
        <v>1</v>
      </c>
      <c r="T89" s="83">
        <f t="shared" si="104"/>
        <v>4</v>
      </c>
      <c r="U89" s="88">
        <f t="shared" si="105"/>
        <v>473.0004</v>
      </c>
      <c r="V89" s="34">
        <f t="shared" si="106"/>
        <v>7</v>
      </c>
      <c r="W89" s="88">
        <f t="shared" si="95"/>
        <v>479.0007</v>
      </c>
      <c r="X89" s="83">
        <f t="shared" si="96"/>
        <v>8</v>
      </c>
      <c r="Y89" s="12">
        <f t="shared" si="107"/>
        <v>7</v>
      </c>
      <c r="Z89" s="50">
        <f t="shared" si="97"/>
        <v>0</v>
      </c>
      <c r="AA89" s="52" t="str">
        <f t="shared" si="98"/>
        <v>König, G</v>
      </c>
      <c r="AB89" s="52" t="str">
        <f t="shared" si="98"/>
        <v>1.MGC Gelsenkirchen</v>
      </c>
      <c r="AC89" s="12">
        <f t="shared" si="98"/>
        <v>479</v>
      </c>
      <c r="AD89" s="55">
        <f t="shared" si="98"/>
      </c>
      <c r="AE89" s="56">
        <f t="shared" si="98"/>
        <v>31.933333333333334</v>
      </c>
      <c r="AF89" s="12">
        <f t="shared" si="98"/>
        <v>102</v>
      </c>
      <c r="AG89" s="12">
        <f t="shared" si="98"/>
        <v>98</v>
      </c>
      <c r="AH89" s="12">
        <f t="shared" si="98"/>
        <v>94</v>
      </c>
      <c r="AI89" s="12">
        <f t="shared" si="98"/>
        <v>97</v>
      </c>
      <c r="AJ89" s="12">
        <f t="shared" si="98"/>
        <v>0</v>
      </c>
      <c r="AK89" s="12">
        <f t="shared" si="98"/>
        <v>88</v>
      </c>
    </row>
    <row r="90" spans="1:37" ht="12.75">
      <c r="A90" s="52">
        <v>8</v>
      </c>
      <c r="B90" s="14" t="str">
        <f>VLOOKUP($A90,'Eingabe Einzelspieler'!$O$2:$V$124,7,FALSE)</f>
        <v>König, G</v>
      </c>
      <c r="C90" s="14" t="str">
        <f>VLOOKUP($A90,'Eingabe Einzelspieler'!$O$2:$V$124,8,FALSE)</f>
        <v>1.MGC Gelsenkirchen</v>
      </c>
      <c r="D90" s="34">
        <f>IF($B90="",0,VLOOKUP($B90,'Eingabe Einzelspieler'!$A$2:$P$124,D$1,FALSE))</f>
        <v>102</v>
      </c>
      <c r="E90" s="34">
        <f>IF($B90="",0,VLOOKUP($B90,'Eingabe Einzelspieler'!$A$2:$P$124,E$1,FALSE))</f>
        <v>98</v>
      </c>
      <c r="F90" s="34">
        <f>IF($B90="",0,VLOOKUP($B90,'Eingabe Einzelspieler'!$A$2:$P$124,F$1,FALSE))</f>
        <v>94</v>
      </c>
      <c r="G90" s="34">
        <f>IF($B90="",0,VLOOKUP($B90,'Eingabe Einzelspieler'!$A$2:$P$124,G$1,FALSE))</f>
        <v>97</v>
      </c>
      <c r="H90" s="34">
        <f>IF($B90="",0,VLOOKUP($B90,'Eingabe Einzelspieler'!$A$2:$P$124,H$1,FALSE))</f>
        <v>0</v>
      </c>
      <c r="I90" s="34">
        <f>IF($B90="",0,VLOOKUP($B90,'Eingabe Einzelspieler'!$A$2:$P$124,I$1,FALSE))</f>
        <v>88</v>
      </c>
      <c r="J90" s="10">
        <f t="shared" si="99"/>
        <v>479</v>
      </c>
      <c r="K90" s="10">
        <f t="shared" si="100"/>
        <v>5</v>
      </c>
      <c r="L90" s="10">
        <f>IF($B90="",0,VLOOKUP($B90,'Eingabe Einzelspieler'!$A$2:$P$124,L$1,FALSE))</f>
        <v>0</v>
      </c>
      <c r="M90" s="10">
        <f>IF(('Eingabe Einzelspieler'!$I$125-1)&gt;K90,1,"")</f>
      </c>
      <c r="N90" s="10">
        <f>IF('Eingabe Einzelspieler'!$I$125=1,0,IF(K90='Eingabe Einzelspieler'!$I$125,1,0))</f>
        <v>0</v>
      </c>
      <c r="O90" s="10">
        <f t="shared" si="101"/>
      </c>
      <c r="P90" s="10">
        <f t="shared" si="102"/>
        <v>479</v>
      </c>
      <c r="Q90" s="82">
        <f t="shared" si="103"/>
        <v>31.933333333333334</v>
      </c>
      <c r="R90" s="83">
        <f t="shared" si="94"/>
        <v>7</v>
      </c>
      <c r="S90" s="83">
        <f>COUNTIF(R$83:R90,R90)</f>
        <v>1</v>
      </c>
      <c r="T90" s="83">
        <f t="shared" si="104"/>
        <v>7</v>
      </c>
      <c r="U90" s="88">
        <f t="shared" si="105"/>
        <v>479.0007</v>
      </c>
      <c r="V90" s="34">
        <f t="shared" si="106"/>
        <v>8</v>
      </c>
      <c r="W90" s="88">
        <f t="shared" si="95"/>
        <v>479.0008</v>
      </c>
      <c r="X90" s="83">
        <f t="shared" si="96"/>
        <v>16</v>
      </c>
      <c r="Y90" s="12">
        <f t="shared" si="107"/>
        <v>8</v>
      </c>
      <c r="Z90" s="50">
        <f t="shared" si="97"/>
        <v>0</v>
      </c>
      <c r="AA90" s="52" t="str">
        <f t="shared" si="98"/>
        <v>Metzner, H</v>
      </c>
      <c r="AB90" s="52" t="str">
        <f t="shared" si="98"/>
        <v>MGC Neviges</v>
      </c>
      <c r="AC90" s="12">
        <f t="shared" si="98"/>
        <v>479</v>
      </c>
      <c r="AD90" s="55">
        <f t="shared" si="98"/>
        <v>110</v>
      </c>
      <c r="AE90" s="56">
        <f t="shared" si="98"/>
        <v>31.933333333333334</v>
      </c>
      <c r="AF90" s="12">
        <f t="shared" si="98"/>
        <v>110</v>
      </c>
      <c r="AG90" s="12">
        <f t="shared" si="98"/>
        <v>91</v>
      </c>
      <c r="AH90" s="12">
        <f t="shared" si="98"/>
        <v>91</v>
      </c>
      <c r="AI90" s="12">
        <f t="shared" si="98"/>
        <v>106</v>
      </c>
      <c r="AJ90" s="12">
        <f t="shared" si="98"/>
        <v>85</v>
      </c>
      <c r="AK90" s="12">
        <f t="shared" si="98"/>
        <v>106</v>
      </c>
    </row>
    <row r="91" spans="1:37" ht="12.75">
      <c r="A91" s="52">
        <v>9</v>
      </c>
      <c r="B91" s="14" t="str">
        <f>VLOOKUP($A91,'Eingabe Einzelspieler'!$O$2:$V$124,7,FALSE)</f>
        <v>Reimer, W</v>
      </c>
      <c r="C91" s="14" t="str">
        <f>VLOOKUP($A91,'Eingabe Einzelspieler'!$O$2:$V$124,8,FALSE)</f>
        <v>1.MGC Gelsenkirchen</v>
      </c>
      <c r="D91" s="34">
        <f>IF($B91="",0,VLOOKUP($B91,'Eingabe Einzelspieler'!$A$2:$P$124,D$1,FALSE))</f>
        <v>101</v>
      </c>
      <c r="E91" s="34">
        <f>IF($B91="",0,VLOOKUP($B91,'Eingabe Einzelspieler'!$A$2:$P$124,E$1,FALSE))</f>
        <v>89</v>
      </c>
      <c r="F91" s="34">
        <f>IF($B91="",0,VLOOKUP($B91,'Eingabe Einzelspieler'!$A$2:$P$124,F$1,FALSE))</f>
        <v>85</v>
      </c>
      <c r="G91" s="34">
        <f>IF($B91="",0,VLOOKUP($B91,'Eingabe Einzelspieler'!$A$2:$P$124,G$1,FALSE))</f>
        <v>85</v>
      </c>
      <c r="H91" s="34">
        <f>IF($B91="",0,VLOOKUP($B91,'Eingabe Einzelspieler'!$A$2:$P$124,H$1,FALSE))</f>
        <v>99</v>
      </c>
      <c r="I91" s="34">
        <f>IF($B91="",0,VLOOKUP($B91,'Eingabe Einzelspieler'!$A$2:$P$124,I$1,FALSE))</f>
        <v>93</v>
      </c>
      <c r="J91" s="10">
        <f t="shared" si="99"/>
        <v>552</v>
      </c>
      <c r="K91" s="10">
        <f t="shared" si="100"/>
        <v>6</v>
      </c>
      <c r="L91" s="10">
        <f>IF($B91="",0,VLOOKUP($B91,'Eingabe Einzelspieler'!$A$2:$P$124,L$1,FALSE))</f>
        <v>0</v>
      </c>
      <c r="M91" s="10">
        <f>IF(('Eingabe Einzelspieler'!$I$125-1)&gt;K91,1,"")</f>
      </c>
      <c r="N91" s="10">
        <f>IF('Eingabe Einzelspieler'!$I$125=1,0,IF(K91='Eingabe Einzelspieler'!$I$125,1,0))</f>
        <v>1</v>
      </c>
      <c r="O91" s="10">
        <f t="shared" si="101"/>
        <v>101</v>
      </c>
      <c r="P91" s="10">
        <f t="shared" si="102"/>
        <v>451</v>
      </c>
      <c r="Q91" s="82">
        <f t="shared" si="103"/>
        <v>30.066666666666666</v>
      </c>
      <c r="R91" s="83">
        <f>IF(M91=1,100,RANK(P91,$P$83:$P$99,1))</f>
        <v>1</v>
      </c>
      <c r="S91" s="83">
        <f>COUNTIF(R$83:R91,R91)</f>
        <v>1</v>
      </c>
      <c r="T91" s="83">
        <f t="shared" si="104"/>
        <v>1</v>
      </c>
      <c r="U91" s="88">
        <f t="shared" si="105"/>
        <v>451.0001</v>
      </c>
      <c r="V91" s="34">
        <f t="shared" si="106"/>
        <v>9</v>
      </c>
      <c r="W91" s="88">
        <f>SMALL(U$83:U$99,A91)</f>
        <v>497.0009</v>
      </c>
      <c r="X91" s="83">
        <f t="shared" si="96"/>
        <v>6</v>
      </c>
      <c r="Y91" s="12">
        <f t="shared" si="107"/>
        <v>9</v>
      </c>
      <c r="Z91" s="50">
        <f t="shared" si="97"/>
        <v>0</v>
      </c>
      <c r="AA91" s="101" t="str">
        <f t="shared" si="98"/>
        <v>Thurmann, Di</v>
      </c>
      <c r="AB91" s="101" t="str">
        <f t="shared" si="98"/>
        <v>MGC "AS" Witten</v>
      </c>
      <c r="AC91" s="102">
        <f t="shared" si="98"/>
        <v>497</v>
      </c>
      <c r="AD91" s="55">
        <f t="shared" si="98"/>
        <v>106</v>
      </c>
      <c r="AE91" s="56">
        <f t="shared" si="98"/>
        <v>33.13333333333333</v>
      </c>
      <c r="AF91" s="12">
        <f t="shared" si="98"/>
        <v>101</v>
      </c>
      <c r="AG91" s="12">
        <f t="shared" si="98"/>
        <v>106</v>
      </c>
      <c r="AH91" s="12">
        <f t="shared" si="98"/>
        <v>97</v>
      </c>
      <c r="AI91" s="12">
        <f t="shared" si="98"/>
        <v>106</v>
      </c>
      <c r="AJ91" s="12">
        <f t="shared" si="98"/>
        <v>100</v>
      </c>
      <c r="AK91" s="12">
        <f t="shared" si="98"/>
        <v>93</v>
      </c>
    </row>
    <row r="92" spans="1:37" ht="12.75">
      <c r="A92" s="52">
        <v>10</v>
      </c>
      <c r="B92" s="14" t="str">
        <f>VLOOKUP($A92,'Eingabe Einzelspieler'!$O$2:$V$124,7,FALSE)</f>
        <v>Templin, G</v>
      </c>
      <c r="C92" s="14" t="str">
        <f>VLOOKUP($A92,'Eingabe Einzelspieler'!$O$2:$V$124,8,FALSE)</f>
        <v>1.MGC Gelsenkirchen</v>
      </c>
      <c r="D92" s="34">
        <f>IF($B92="",0,VLOOKUP($B92,'Eingabe Einzelspieler'!$A$2:$P$124,D$1,FALSE))</f>
        <v>0</v>
      </c>
      <c r="E92" s="34">
        <f>IF($B92="",0,VLOOKUP($B92,'Eingabe Einzelspieler'!$A$2:$P$124,E$1,FALSE))</f>
        <v>100</v>
      </c>
      <c r="F92" s="34">
        <f>IF($B92="",0,VLOOKUP($B92,'Eingabe Einzelspieler'!$A$2:$P$124,F$1,FALSE))</f>
        <v>91</v>
      </c>
      <c r="G92" s="34">
        <f>IF($B92="",0,VLOOKUP($B92,'Eingabe Einzelspieler'!$A$2:$P$124,G$1,FALSE))</f>
        <v>110</v>
      </c>
      <c r="H92" s="34">
        <f>IF($B92="",0,VLOOKUP($B92,'Eingabe Einzelspieler'!$A$2:$P$124,H$1,FALSE))</f>
        <v>0</v>
      </c>
      <c r="I92" s="34">
        <f>IF($B92="",0,VLOOKUP($B92,'Eingabe Einzelspieler'!$A$2:$P$124,I$1,FALSE))</f>
        <v>0</v>
      </c>
      <c r="J92" s="10">
        <f t="shared" si="99"/>
        <v>301</v>
      </c>
      <c r="K92" s="10">
        <f t="shared" si="100"/>
        <v>3</v>
      </c>
      <c r="L92" s="10">
        <f>IF($B92="",0,VLOOKUP($B92,'Eingabe Einzelspieler'!$A$2:$P$124,L$1,FALSE))</f>
        <v>0</v>
      </c>
      <c r="M92" s="10">
        <f>IF(('Eingabe Einzelspieler'!$I$125-1)&gt;K92,1,"")</f>
        <v>1</v>
      </c>
      <c r="N92" s="10">
        <f>IF('Eingabe Einzelspieler'!$I$125=1,0,IF(K92='Eingabe Einzelspieler'!$I$125,1,0))</f>
        <v>0</v>
      </c>
      <c r="O92" s="10">
        <f t="shared" si="101"/>
      </c>
      <c r="P92" s="10" t="str">
        <f t="shared" si="102"/>
        <v>ADW</v>
      </c>
      <c r="Q92" s="82">
        <f t="shared" si="103"/>
      </c>
      <c r="R92" s="83">
        <f>IF(M92=1,100,RANK(P92,$P$83:$P$99,1))</f>
        <v>100</v>
      </c>
      <c r="S92" s="83">
        <f>COUNTIF(R$83:R92,R92)</f>
        <v>2</v>
      </c>
      <c r="T92" s="83">
        <f t="shared" si="104"/>
        <v>101</v>
      </c>
      <c r="U92" s="88">
        <f t="shared" si="105"/>
        <v>2500.0101</v>
      </c>
      <c r="V92" s="34">
        <f t="shared" si="106"/>
        <v>10</v>
      </c>
      <c r="W92" s="88">
        <f>SMALL(U$83:U$99,A92)</f>
        <v>500.001</v>
      </c>
      <c r="X92" s="83">
        <f t="shared" si="96"/>
        <v>3</v>
      </c>
      <c r="Y92" s="12">
        <f t="shared" si="107"/>
        <v>10</v>
      </c>
      <c r="Z92" s="50">
        <f t="shared" si="97"/>
        <v>0</v>
      </c>
      <c r="AA92" s="101" t="str">
        <f t="shared" si="98"/>
        <v>Krüger, S</v>
      </c>
      <c r="AB92" s="101" t="str">
        <f t="shared" si="98"/>
        <v>MGC "AS" Witten</v>
      </c>
      <c r="AC92" s="102">
        <f t="shared" si="98"/>
        <v>500</v>
      </c>
      <c r="AD92" s="55">
        <f t="shared" si="98"/>
        <v>112</v>
      </c>
      <c r="AE92" s="56">
        <f t="shared" si="98"/>
        <v>33.333333333333336</v>
      </c>
      <c r="AF92" s="12">
        <f t="shared" si="98"/>
        <v>93</v>
      </c>
      <c r="AG92" s="12">
        <f t="shared" si="98"/>
        <v>95</v>
      </c>
      <c r="AH92" s="12">
        <f t="shared" si="98"/>
        <v>108</v>
      </c>
      <c r="AI92" s="12">
        <f t="shared" si="98"/>
        <v>106</v>
      </c>
      <c r="AJ92" s="12">
        <f t="shared" si="98"/>
        <v>98</v>
      </c>
      <c r="AK92" s="12">
        <f t="shared" si="98"/>
        <v>112</v>
      </c>
    </row>
    <row r="93" spans="1:37" ht="12.75">
      <c r="A93" s="52">
        <v>11</v>
      </c>
      <c r="B93" s="14" t="str">
        <f>VLOOKUP($A93,'Eingabe Einzelspieler'!$O$2:$V$124,7,FALSE)</f>
        <v>Weinberger, H</v>
      </c>
      <c r="C93" s="14" t="str">
        <f>VLOOKUP($A93,'Eingabe Einzelspieler'!$O$2:$V$124,8,FALSE)</f>
        <v>1.MGC Gelsenkirchen</v>
      </c>
      <c r="D93" s="34">
        <f>IF($B93="",0,VLOOKUP($B93,'Eingabe Einzelspieler'!$A$2:$P$124,D$1,FALSE))</f>
        <v>107</v>
      </c>
      <c r="E93" s="34">
        <f>IF($B93="",0,VLOOKUP($B93,'Eingabe Einzelspieler'!$A$2:$P$124,E$1,FALSE))</f>
        <v>97</v>
      </c>
      <c r="F93" s="34">
        <f>IF($B93="",0,VLOOKUP($B93,'Eingabe Einzelspieler'!$A$2:$P$124,F$1,FALSE))</f>
        <v>89</v>
      </c>
      <c r="G93" s="34">
        <f>IF($B93="",0,VLOOKUP($B93,'Eingabe Einzelspieler'!$A$2:$P$124,G$1,FALSE))</f>
        <v>93</v>
      </c>
      <c r="H93" s="34">
        <f>IF($B93="",0,VLOOKUP($B93,'Eingabe Einzelspieler'!$A$2:$P$124,H$1,FALSE))</f>
        <v>95</v>
      </c>
      <c r="I93" s="34">
        <f>IF($B93="",0,VLOOKUP($B93,'Eingabe Einzelspieler'!$A$2:$P$124,I$1,FALSE))</f>
        <v>92</v>
      </c>
      <c r="J93" s="10">
        <f aca="true" t="shared" si="108" ref="J93:J99">SUM(D93:I93)</f>
        <v>573</v>
      </c>
      <c r="K93" s="10">
        <f aca="true" t="shared" si="109" ref="K93:K99">COUNTIF(D93:I93,"&gt;0")</f>
        <v>6</v>
      </c>
      <c r="L93" s="10">
        <f>IF($B93="",0,VLOOKUP($B93,'Eingabe Einzelspieler'!$A$2:$P$124,L$1,FALSE))</f>
        <v>0</v>
      </c>
      <c r="M93" s="10">
        <f>IF(('Eingabe Einzelspieler'!$I$125-1)&gt;K93,1,"")</f>
      </c>
      <c r="N93" s="10">
        <f>IF('Eingabe Einzelspieler'!$I$125=1,0,IF(K93='Eingabe Einzelspieler'!$I$125,1,0))</f>
        <v>1</v>
      </c>
      <c r="O93" s="10">
        <f aca="true" t="shared" si="110" ref="O93:O99">IF(N93=1,LARGE(D93:I93,1),"")</f>
        <v>107</v>
      </c>
      <c r="P93" s="10">
        <f aca="true" t="shared" si="111" ref="P93:P99">IF(M93=1,"ADW",IF(N93=1,SUM(J93-O93),J93))</f>
        <v>466</v>
      </c>
      <c r="Q93" s="82">
        <f aca="true" t="shared" si="112" ref="Q93:Q99">IF(J93=0,0,IF(AND(K93=1,N93=1),J93/3,IF(M93=1,"",IF(N93=0,P93/K93/3,P93/(K93-N93)/3))))</f>
        <v>31.066666666666666</v>
      </c>
      <c r="R93" s="83">
        <f t="shared" si="94"/>
        <v>3</v>
      </c>
      <c r="S93" s="83">
        <f>COUNTIF(R$83:R93,R93)</f>
        <v>1</v>
      </c>
      <c r="T93" s="83">
        <f aca="true" t="shared" si="113" ref="T93:T99">R93+S93-1</f>
        <v>3</v>
      </c>
      <c r="U93" s="88">
        <f aca="true" t="shared" si="114" ref="U93:U99">IF(M93=1,2500+(T93/10000),P93+(T93/10000)+(L93/10))</f>
        <v>466.0003</v>
      </c>
      <c r="V93" s="34">
        <f aca="true" t="shared" si="115" ref="V93:V99">A93</f>
        <v>11</v>
      </c>
      <c r="W93" s="88">
        <f t="shared" si="95"/>
        <v>502.0011</v>
      </c>
      <c r="X93" s="83">
        <f t="shared" si="96"/>
        <v>14</v>
      </c>
      <c r="Y93" s="12">
        <f aca="true" t="shared" si="116" ref="Y93:Y99">A93</f>
        <v>11</v>
      </c>
      <c r="Z93" s="50">
        <f t="shared" si="97"/>
        <v>0</v>
      </c>
      <c r="AA93" s="52" t="str">
        <f t="shared" si="98"/>
        <v>König, K</v>
      </c>
      <c r="AB93" s="52" t="str">
        <f t="shared" si="98"/>
        <v>1.MSC Wesel</v>
      </c>
      <c r="AC93" s="12">
        <f t="shared" si="98"/>
        <v>502</v>
      </c>
      <c r="AD93" s="55">
        <f t="shared" si="98"/>
        <v>110</v>
      </c>
      <c r="AE93" s="56">
        <f t="shared" si="98"/>
        <v>33.46666666666667</v>
      </c>
      <c r="AF93" s="12">
        <f t="shared" si="98"/>
        <v>99</v>
      </c>
      <c r="AG93" s="12">
        <f t="shared" si="98"/>
        <v>99</v>
      </c>
      <c r="AH93" s="12">
        <f t="shared" si="98"/>
        <v>108</v>
      </c>
      <c r="AI93" s="12">
        <f t="shared" si="98"/>
        <v>110</v>
      </c>
      <c r="AJ93" s="12">
        <f t="shared" si="98"/>
        <v>102</v>
      </c>
      <c r="AK93" s="12">
        <f t="shared" si="98"/>
        <v>94</v>
      </c>
    </row>
    <row r="94" spans="1:37" ht="12.75">
      <c r="A94" s="52">
        <v>12</v>
      </c>
      <c r="B94" s="14" t="str">
        <f>VLOOKUP($A94,'Eingabe Einzelspieler'!$O$2:$V$124,7,FALSE)</f>
        <v>Wickermann, Hei</v>
      </c>
      <c r="C94" s="14" t="str">
        <f>VLOOKUP($A94,'Eingabe Einzelspieler'!$O$2:$V$124,8,FALSE)</f>
        <v>1.MGC Gelsenkirchen</v>
      </c>
      <c r="D94" s="34">
        <f>IF($B94="",0,VLOOKUP($B94,'Eingabe Einzelspieler'!$A$2:$P$124,D$1,FALSE))</f>
        <v>107</v>
      </c>
      <c r="E94" s="34">
        <f>IF($B94="",0,VLOOKUP($B94,'Eingabe Einzelspieler'!$A$2:$P$124,E$1,FALSE))</f>
        <v>0</v>
      </c>
      <c r="F94" s="34">
        <f>IF($B94="",0,VLOOKUP($B94,'Eingabe Einzelspieler'!$A$2:$P$124,F$1,FALSE))</f>
        <v>0</v>
      </c>
      <c r="G94" s="34">
        <f>IF($B94="",0,VLOOKUP($B94,'Eingabe Einzelspieler'!$A$2:$P$124,G$1,FALSE))</f>
        <v>0</v>
      </c>
      <c r="H94" s="34">
        <f>IF($B94="",0,VLOOKUP($B94,'Eingabe Einzelspieler'!$A$2:$P$124,H$1,FALSE))</f>
        <v>96</v>
      </c>
      <c r="I94" s="34">
        <f>IF($B94="",0,VLOOKUP($B94,'Eingabe Einzelspieler'!$A$2:$P$124,I$1,FALSE))</f>
        <v>93</v>
      </c>
      <c r="J94" s="10">
        <f t="shared" si="108"/>
        <v>296</v>
      </c>
      <c r="K94" s="10">
        <f t="shared" si="109"/>
        <v>3</v>
      </c>
      <c r="L94" s="10">
        <f>IF($B94="",0,VLOOKUP($B94,'Eingabe Einzelspieler'!$A$2:$P$124,L$1,FALSE))</f>
        <v>0</v>
      </c>
      <c r="M94" s="10">
        <f>IF(('Eingabe Einzelspieler'!$I$125-1)&gt;K94,1,"")</f>
        <v>1</v>
      </c>
      <c r="N94" s="10">
        <f>IF('Eingabe Einzelspieler'!$I$125=1,0,IF(K94='Eingabe Einzelspieler'!$I$125,1,0))</f>
        <v>0</v>
      </c>
      <c r="O94" s="10">
        <f t="shared" si="110"/>
      </c>
      <c r="P94" s="10" t="str">
        <f t="shared" si="111"/>
        <v>ADW</v>
      </c>
      <c r="Q94" s="82">
        <f t="shared" si="112"/>
      </c>
      <c r="R94" s="83">
        <f>IF(M94=1,100,RANK(P94,$P$83:$P$99,1))</f>
        <v>100</v>
      </c>
      <c r="S94" s="83">
        <f>COUNTIF(R$83:R94,R94)</f>
        <v>3</v>
      </c>
      <c r="T94" s="83">
        <f t="shared" si="113"/>
        <v>102</v>
      </c>
      <c r="U94" s="88">
        <f t="shared" si="114"/>
        <v>2500.0102</v>
      </c>
      <c r="V94" s="34">
        <f t="shared" si="115"/>
        <v>12</v>
      </c>
      <c r="W94" s="88">
        <f>SMALL(U$83:U$99,A94)</f>
        <v>503.0012</v>
      </c>
      <c r="X94" s="83">
        <f t="shared" si="96"/>
        <v>13</v>
      </c>
      <c r="Y94" s="12">
        <f t="shared" si="116"/>
        <v>12</v>
      </c>
      <c r="Z94" s="50">
        <f t="shared" si="97"/>
        <v>0</v>
      </c>
      <c r="AA94" s="52" t="str">
        <f aca="true" t="shared" si="117" ref="AA94:AK95">VLOOKUP($X94,$A$83:$X$99,AA$1,FALSE)</f>
        <v>Isselmann, W</v>
      </c>
      <c r="AB94" s="52" t="str">
        <f t="shared" si="117"/>
        <v>1.MSC Wesel</v>
      </c>
      <c r="AC94" s="12">
        <f t="shared" si="117"/>
        <v>503</v>
      </c>
      <c r="AD94" s="55">
        <f t="shared" si="117"/>
        <v>111</v>
      </c>
      <c r="AE94" s="56">
        <f t="shared" si="117"/>
        <v>33.53333333333333</v>
      </c>
      <c r="AF94" s="12">
        <f t="shared" si="117"/>
        <v>96</v>
      </c>
      <c r="AG94" s="12">
        <f t="shared" si="117"/>
        <v>100</v>
      </c>
      <c r="AH94" s="12">
        <f t="shared" si="117"/>
        <v>108</v>
      </c>
      <c r="AI94" s="12">
        <f t="shared" si="117"/>
        <v>102</v>
      </c>
      <c r="AJ94" s="12">
        <f t="shared" si="117"/>
        <v>97</v>
      </c>
      <c r="AK94" s="12">
        <f t="shared" si="117"/>
        <v>111</v>
      </c>
    </row>
    <row r="95" spans="1:37" ht="12.75">
      <c r="A95" s="52">
        <v>13</v>
      </c>
      <c r="B95" s="14" t="str">
        <f>VLOOKUP($A95,'Eingabe Einzelspieler'!$O$2:$V$124,7,FALSE)</f>
        <v>Isselmann, W</v>
      </c>
      <c r="C95" s="14" t="str">
        <f>VLOOKUP($A95,'Eingabe Einzelspieler'!$O$2:$V$124,8,FALSE)</f>
        <v>1.MSC Wesel</v>
      </c>
      <c r="D95" s="34">
        <f>IF($B95="",0,VLOOKUP($B95,'Eingabe Einzelspieler'!$A$2:$P$124,D$1,FALSE))</f>
        <v>96</v>
      </c>
      <c r="E95" s="34">
        <f>IF($B95="",0,VLOOKUP($B95,'Eingabe Einzelspieler'!$A$2:$P$124,E$1,FALSE))</f>
        <v>100</v>
      </c>
      <c r="F95" s="34">
        <f>IF($B95="",0,VLOOKUP($B95,'Eingabe Einzelspieler'!$A$2:$P$124,F$1,FALSE))</f>
        <v>108</v>
      </c>
      <c r="G95" s="34">
        <f>IF($B95="",0,VLOOKUP($B95,'Eingabe Einzelspieler'!$A$2:$P$124,G$1,FALSE))</f>
        <v>102</v>
      </c>
      <c r="H95" s="34">
        <f>IF($B95="",0,VLOOKUP($B95,'Eingabe Einzelspieler'!$A$2:$P$124,H$1,FALSE))</f>
        <v>97</v>
      </c>
      <c r="I95" s="34">
        <f>IF($B95="",0,VLOOKUP($B95,'Eingabe Einzelspieler'!$A$2:$P$124,I$1,FALSE))</f>
        <v>111</v>
      </c>
      <c r="J95" s="10">
        <f t="shared" si="108"/>
        <v>614</v>
      </c>
      <c r="K95" s="10">
        <f t="shared" si="109"/>
        <v>6</v>
      </c>
      <c r="L95" s="10">
        <f>IF($B95="",0,VLOOKUP($B95,'Eingabe Einzelspieler'!$A$2:$P$124,L$1,FALSE))</f>
        <v>0</v>
      </c>
      <c r="M95" s="10">
        <f>IF(('Eingabe Einzelspieler'!$I$125-1)&gt;K95,1,"")</f>
      </c>
      <c r="N95" s="10">
        <f>IF('Eingabe Einzelspieler'!$I$125=1,0,IF(K95='Eingabe Einzelspieler'!$I$125,1,0))</f>
        <v>1</v>
      </c>
      <c r="O95" s="10">
        <f t="shared" si="110"/>
        <v>111</v>
      </c>
      <c r="P95" s="10">
        <f t="shared" si="111"/>
        <v>503</v>
      </c>
      <c r="Q95" s="82">
        <f t="shared" si="112"/>
        <v>33.53333333333333</v>
      </c>
      <c r="R95" s="83">
        <f>IF(M95=1,100,RANK(P95,$P$83:$P$99,1))</f>
        <v>12</v>
      </c>
      <c r="S95" s="83">
        <f>COUNTIF(R$83:R95,R95)</f>
        <v>1</v>
      </c>
      <c r="T95" s="83">
        <f t="shared" si="113"/>
        <v>12</v>
      </c>
      <c r="U95" s="88">
        <f t="shared" si="114"/>
        <v>503.0012</v>
      </c>
      <c r="V95" s="34">
        <f t="shared" si="115"/>
        <v>13</v>
      </c>
      <c r="W95" s="88">
        <f>SMALL(U$83:U$99,A95)</f>
        <v>523.0013</v>
      </c>
      <c r="X95" s="83">
        <f t="shared" si="96"/>
        <v>1</v>
      </c>
      <c r="Y95" s="12">
        <f t="shared" si="116"/>
        <v>13</v>
      </c>
      <c r="Z95" s="50">
        <f t="shared" si="97"/>
        <v>0</v>
      </c>
      <c r="AA95" s="101" t="str">
        <f t="shared" si="117"/>
        <v>Boßhammer, W</v>
      </c>
      <c r="AB95" s="101" t="str">
        <f t="shared" si="117"/>
        <v>MGC "AS" Witten</v>
      </c>
      <c r="AC95" s="102">
        <f t="shared" si="117"/>
        <v>523</v>
      </c>
      <c r="AD95" s="55">
        <f t="shared" si="117"/>
        <v>113</v>
      </c>
      <c r="AE95" s="56">
        <f t="shared" si="117"/>
        <v>34.86666666666667</v>
      </c>
      <c r="AF95" s="12">
        <f t="shared" si="117"/>
        <v>113</v>
      </c>
      <c r="AG95" s="12">
        <f t="shared" si="117"/>
        <v>102</v>
      </c>
      <c r="AH95" s="12">
        <f t="shared" si="117"/>
        <v>111</v>
      </c>
      <c r="AI95" s="12">
        <f t="shared" si="117"/>
        <v>105</v>
      </c>
      <c r="AJ95" s="12">
        <f t="shared" si="117"/>
        <v>96</v>
      </c>
      <c r="AK95" s="12">
        <f t="shared" si="117"/>
        <v>109</v>
      </c>
    </row>
    <row r="96" spans="1:37" ht="12.75">
      <c r="A96" s="52">
        <v>14</v>
      </c>
      <c r="B96" s="14" t="str">
        <f>VLOOKUP($A96,'Eingabe Einzelspieler'!$O$2:$V$124,7,FALSE)</f>
        <v>König, K</v>
      </c>
      <c r="C96" s="14" t="str">
        <f>VLOOKUP($A96,'Eingabe Einzelspieler'!$O$2:$V$124,8,FALSE)</f>
        <v>1.MSC Wesel</v>
      </c>
      <c r="D96" s="34">
        <f>IF($B96="",0,VLOOKUP($B96,'Eingabe Einzelspieler'!$A$2:$P$124,D$1,FALSE))</f>
        <v>99</v>
      </c>
      <c r="E96" s="34">
        <f>IF($B96="",0,VLOOKUP($B96,'Eingabe Einzelspieler'!$A$2:$P$124,E$1,FALSE))</f>
        <v>99</v>
      </c>
      <c r="F96" s="34">
        <f>IF($B96="",0,VLOOKUP($B96,'Eingabe Einzelspieler'!$A$2:$P$124,F$1,FALSE))</f>
        <v>108</v>
      </c>
      <c r="G96" s="34">
        <f>IF($B96="",0,VLOOKUP($B96,'Eingabe Einzelspieler'!$A$2:$P$124,G$1,FALSE))</f>
        <v>110</v>
      </c>
      <c r="H96" s="34">
        <f>IF($B96="",0,VLOOKUP($B96,'Eingabe Einzelspieler'!$A$2:$P$124,H$1,FALSE))</f>
        <v>102</v>
      </c>
      <c r="I96" s="34">
        <f>IF($B96="",0,VLOOKUP($B96,'Eingabe Einzelspieler'!$A$2:$P$124,I$1,FALSE))</f>
        <v>94</v>
      </c>
      <c r="J96" s="10">
        <f t="shared" si="108"/>
        <v>612</v>
      </c>
      <c r="K96" s="10">
        <f t="shared" si="109"/>
        <v>6</v>
      </c>
      <c r="L96" s="10">
        <f>IF($B96="",0,VLOOKUP($B96,'Eingabe Einzelspieler'!$A$2:$P$124,L$1,FALSE))</f>
        <v>0</v>
      </c>
      <c r="M96" s="10">
        <f>IF(('Eingabe Einzelspieler'!$I$125-1)&gt;K96,1,"")</f>
      </c>
      <c r="N96" s="10">
        <f>IF('Eingabe Einzelspieler'!$I$125=1,0,IF(K96='Eingabe Einzelspieler'!$I$125,1,0))</f>
        <v>1</v>
      </c>
      <c r="O96" s="10">
        <f t="shared" si="110"/>
        <v>110</v>
      </c>
      <c r="P96" s="10">
        <f t="shared" si="111"/>
        <v>502</v>
      </c>
      <c r="Q96" s="82">
        <f t="shared" si="112"/>
        <v>33.46666666666667</v>
      </c>
      <c r="R96" s="83">
        <f>IF(M96=1,100,RANK(P96,$P$83:$P$99,1))</f>
        <v>11</v>
      </c>
      <c r="S96" s="83">
        <f>COUNTIF(R$83:R96,R96)</f>
        <v>1</v>
      </c>
      <c r="T96" s="83">
        <f t="shared" si="113"/>
        <v>11</v>
      </c>
      <c r="U96" s="88">
        <f t="shared" si="114"/>
        <v>502.0011</v>
      </c>
      <c r="V96" s="34">
        <f t="shared" si="115"/>
        <v>14</v>
      </c>
      <c r="W96" s="88">
        <f>SMALL(U$83:U$99,A96)</f>
        <v>606.0014</v>
      </c>
      <c r="X96" s="83">
        <f t="shared" si="96"/>
        <v>15</v>
      </c>
      <c r="Y96" s="12">
        <f t="shared" si="116"/>
        <v>14</v>
      </c>
      <c r="Z96" s="50">
        <f t="shared" si="97"/>
        <v>0</v>
      </c>
      <c r="AA96" s="52" t="str">
        <f aca="true" t="shared" si="118" ref="AA96:AK99">VLOOKUP($X96,$A$83:$X$99,AA$1,FALSE)</f>
        <v>Steger, H</v>
      </c>
      <c r="AB96" s="52" t="str">
        <f t="shared" si="118"/>
        <v>1.MSC Wesel</v>
      </c>
      <c r="AC96" s="12">
        <f t="shared" si="118"/>
        <v>606</v>
      </c>
      <c r="AD96" s="55">
        <f t="shared" si="118"/>
        <v>143</v>
      </c>
      <c r="AE96" s="56">
        <f t="shared" si="118"/>
        <v>40.4</v>
      </c>
      <c r="AF96" s="12">
        <f t="shared" si="118"/>
        <v>143</v>
      </c>
      <c r="AG96" s="12">
        <f t="shared" si="118"/>
        <v>121</v>
      </c>
      <c r="AH96" s="12">
        <f t="shared" si="118"/>
        <v>120</v>
      </c>
      <c r="AI96" s="12">
        <f t="shared" si="118"/>
        <v>117</v>
      </c>
      <c r="AJ96" s="12">
        <f t="shared" si="118"/>
        <v>131</v>
      </c>
      <c r="AK96" s="12">
        <f t="shared" si="118"/>
        <v>117</v>
      </c>
    </row>
    <row r="97" spans="1:37" ht="12.75" hidden="1">
      <c r="A97" s="52">
        <v>15</v>
      </c>
      <c r="B97" s="14" t="str">
        <f>VLOOKUP($A97,'Eingabe Einzelspieler'!$O$2:$V$124,7,FALSE)</f>
        <v>Steger, H</v>
      </c>
      <c r="C97" s="14" t="str">
        <f>VLOOKUP($A97,'Eingabe Einzelspieler'!$O$2:$V$124,8,FALSE)</f>
        <v>1.MSC Wesel</v>
      </c>
      <c r="D97" s="34">
        <f>IF($B97="",0,VLOOKUP($B97,'Eingabe Einzelspieler'!$A$2:$P$124,D$1,FALSE))</f>
        <v>143</v>
      </c>
      <c r="E97" s="34">
        <f>IF($B97="",0,VLOOKUP($B97,'Eingabe Einzelspieler'!$A$2:$P$124,E$1,FALSE))</f>
        <v>121</v>
      </c>
      <c r="F97" s="34">
        <f>IF($B97="",0,VLOOKUP($B97,'Eingabe Einzelspieler'!$A$2:$P$124,F$1,FALSE))</f>
        <v>120</v>
      </c>
      <c r="G97" s="34">
        <f>IF($B97="",0,VLOOKUP($B97,'Eingabe Einzelspieler'!$A$2:$P$124,G$1,FALSE))</f>
        <v>117</v>
      </c>
      <c r="H97" s="34">
        <f>IF($B97="",0,VLOOKUP($B97,'Eingabe Einzelspieler'!$A$2:$P$124,H$1,FALSE))</f>
        <v>131</v>
      </c>
      <c r="I97" s="34">
        <f>IF($B97="",0,VLOOKUP($B97,'Eingabe Einzelspieler'!$A$2:$P$124,I$1,FALSE))</f>
        <v>117</v>
      </c>
      <c r="J97" s="10">
        <f>SUM(D97:I97)</f>
        <v>749</v>
      </c>
      <c r="K97" s="10">
        <f>COUNTIF(D97:I97,"&gt;0")</f>
        <v>6</v>
      </c>
      <c r="L97" s="10">
        <f>IF($B97="",0,VLOOKUP($B97,'Eingabe Einzelspieler'!$A$2:$P$124,L$1,FALSE))</f>
        <v>0</v>
      </c>
      <c r="M97" s="10">
        <f>IF(('Eingabe Einzelspieler'!$I$125-1)&gt;K97,1,"")</f>
      </c>
      <c r="N97" s="10">
        <f>IF('Eingabe Einzelspieler'!$I$125=1,0,IF(K97='Eingabe Einzelspieler'!$I$125,1,0))</f>
        <v>1</v>
      </c>
      <c r="O97" s="10">
        <f>IF(N97=1,LARGE(D97:I97,1),"")</f>
        <v>143</v>
      </c>
      <c r="P97" s="10">
        <f>IF(M97=1,"ADW",IF(N97=1,SUM(J97-O97),J97))</f>
        <v>606</v>
      </c>
      <c r="Q97" s="82">
        <f>IF(J97=0,0,IF(AND(K97=1,N97=1),J97/3,IF(M97=1,"",IF(N97=0,P97/K97/3,P97/(K97-N97)/3))))</f>
        <v>40.4</v>
      </c>
      <c r="R97" s="83">
        <f>IF(M97=1,100,RANK(P97,$P$83:$P$99,1))</f>
        <v>14</v>
      </c>
      <c r="S97" s="83">
        <f>COUNTIF(R$83:R97,R97)</f>
        <v>1</v>
      </c>
      <c r="T97" s="83">
        <f>R97+S97-1</f>
        <v>14</v>
      </c>
      <c r="U97" s="88">
        <f>IF(M97=1,2500+(T97/10000),P97+(T97/10000)+(L97/10))</f>
        <v>606.0014</v>
      </c>
      <c r="V97" s="34">
        <f>A97</f>
        <v>15</v>
      </c>
      <c r="W97" s="88">
        <f>SMALL(U$83:U$99,A97)</f>
        <v>2500.01</v>
      </c>
      <c r="X97" s="83">
        <f>VLOOKUP(W97,U$83:V$99,$X$1,FALSE)</f>
        <v>2</v>
      </c>
      <c r="Y97" s="12">
        <f>A97</f>
        <v>15</v>
      </c>
      <c r="Z97" s="50">
        <f t="shared" si="97"/>
        <v>0</v>
      </c>
      <c r="AA97" s="52" t="str">
        <f t="shared" si="118"/>
        <v>Gärtig, H</v>
      </c>
      <c r="AB97" s="52" t="str">
        <f t="shared" si="118"/>
        <v>MGC "AS" Witten</v>
      </c>
      <c r="AC97" s="12" t="str">
        <f t="shared" si="118"/>
        <v>ADW</v>
      </c>
      <c r="AD97" s="55">
        <f t="shared" si="118"/>
      </c>
      <c r="AE97" s="56">
        <f t="shared" si="118"/>
      </c>
      <c r="AF97" s="12">
        <f t="shared" si="118"/>
        <v>120</v>
      </c>
      <c r="AG97" s="12">
        <f t="shared" si="118"/>
        <v>116</v>
      </c>
      <c r="AH97" s="12">
        <f t="shared" si="118"/>
        <v>104</v>
      </c>
      <c r="AI97" s="12">
        <f t="shared" si="118"/>
        <v>118</v>
      </c>
      <c r="AJ97" s="12">
        <f t="shared" si="118"/>
        <v>0</v>
      </c>
      <c r="AK97" s="12">
        <f t="shared" si="118"/>
        <v>0</v>
      </c>
    </row>
    <row r="98" spans="1:37" ht="12.75" hidden="1">
      <c r="A98" s="52">
        <v>16</v>
      </c>
      <c r="B98" s="14" t="str">
        <f>VLOOKUP($A98,'Eingabe Einzelspieler'!$O$2:$V$124,7,FALSE)</f>
        <v>Metzner, H</v>
      </c>
      <c r="C98" s="14" t="str">
        <f>VLOOKUP($A98,'Eingabe Einzelspieler'!$O$2:$V$124,8,FALSE)</f>
        <v>MGC Neviges</v>
      </c>
      <c r="D98" s="34">
        <f>IF($B98="",0,VLOOKUP($B98,'Eingabe Einzelspieler'!$A$2:$P$124,D$1,FALSE))</f>
        <v>110</v>
      </c>
      <c r="E98" s="34">
        <f>IF($B98="",0,VLOOKUP($B98,'Eingabe Einzelspieler'!$A$2:$P$124,E$1,FALSE))</f>
        <v>91</v>
      </c>
      <c r="F98" s="34">
        <f>IF($B98="",0,VLOOKUP($B98,'Eingabe Einzelspieler'!$A$2:$P$124,F$1,FALSE))</f>
        <v>91</v>
      </c>
      <c r="G98" s="34">
        <f>IF($B98="",0,VLOOKUP($B98,'Eingabe Einzelspieler'!$A$2:$P$124,G$1,FALSE))</f>
        <v>106</v>
      </c>
      <c r="H98" s="34">
        <f>IF($B98="",0,VLOOKUP($B98,'Eingabe Einzelspieler'!$A$2:$P$124,H$1,FALSE))</f>
        <v>85</v>
      </c>
      <c r="I98" s="34">
        <f>IF($B98="",0,VLOOKUP($B98,'Eingabe Einzelspieler'!$A$2:$P$124,I$1,FALSE))</f>
        <v>106</v>
      </c>
      <c r="J98" s="10">
        <f t="shared" si="108"/>
        <v>589</v>
      </c>
      <c r="K98" s="10">
        <f t="shared" si="109"/>
        <v>6</v>
      </c>
      <c r="L98" s="10">
        <f>IF($B98="",0,VLOOKUP($B98,'Eingabe Einzelspieler'!$A$2:$P$124,L$1,FALSE))</f>
        <v>0</v>
      </c>
      <c r="M98" s="10">
        <f>IF(('Eingabe Einzelspieler'!$I$125-1)&gt;K98,1,"")</f>
      </c>
      <c r="N98" s="10">
        <f>IF('Eingabe Einzelspieler'!$I$125=1,0,IF(K98='Eingabe Einzelspieler'!$I$125,1,0))</f>
        <v>1</v>
      </c>
      <c r="O98" s="10">
        <f t="shared" si="110"/>
        <v>110</v>
      </c>
      <c r="P98" s="10">
        <f t="shared" si="111"/>
        <v>479</v>
      </c>
      <c r="Q98" s="82">
        <f t="shared" si="112"/>
        <v>31.933333333333334</v>
      </c>
      <c r="R98" s="83">
        <f t="shared" si="94"/>
        <v>7</v>
      </c>
      <c r="S98" s="83">
        <f>COUNTIF(R$83:R98,R98)</f>
        <v>2</v>
      </c>
      <c r="T98" s="83">
        <f t="shared" si="113"/>
        <v>8</v>
      </c>
      <c r="U98" s="88">
        <f t="shared" si="114"/>
        <v>479.0008</v>
      </c>
      <c r="V98" s="34">
        <f t="shared" si="115"/>
        <v>16</v>
      </c>
      <c r="W98" s="88">
        <f t="shared" si="95"/>
        <v>2500.0101</v>
      </c>
      <c r="X98" s="83">
        <f t="shared" si="96"/>
        <v>10</v>
      </c>
      <c r="Y98" s="12">
        <f t="shared" si="116"/>
        <v>16</v>
      </c>
      <c r="Z98" s="50">
        <f t="shared" si="97"/>
        <v>0</v>
      </c>
      <c r="AA98" s="52" t="str">
        <f t="shared" si="118"/>
        <v>Templin, G</v>
      </c>
      <c r="AB98" s="52" t="str">
        <f t="shared" si="118"/>
        <v>1.MGC Gelsenkirchen</v>
      </c>
      <c r="AC98" s="12" t="str">
        <f t="shared" si="118"/>
        <v>ADW</v>
      </c>
      <c r="AD98" s="55">
        <f t="shared" si="118"/>
      </c>
      <c r="AE98" s="56">
        <f t="shared" si="118"/>
      </c>
      <c r="AF98" s="12">
        <f t="shared" si="118"/>
        <v>0</v>
      </c>
      <c r="AG98" s="12">
        <f t="shared" si="118"/>
        <v>100</v>
      </c>
      <c r="AH98" s="12">
        <f t="shared" si="118"/>
        <v>91</v>
      </c>
      <c r="AI98" s="12">
        <f t="shared" si="118"/>
        <v>110</v>
      </c>
      <c r="AJ98" s="12">
        <f t="shared" si="118"/>
        <v>0</v>
      </c>
      <c r="AK98" s="12">
        <f t="shared" si="118"/>
        <v>0</v>
      </c>
    </row>
    <row r="99" spans="1:37" ht="12.75" hidden="1">
      <c r="A99" s="52">
        <v>17</v>
      </c>
      <c r="B99" s="14" t="str">
        <f>VLOOKUP($A99,'Eingabe Einzelspieler'!$O$2:$V$124,7,FALSE)</f>
        <v>Hauschke, D</v>
      </c>
      <c r="C99" s="14" t="str">
        <f>VLOOKUP($A99,'Eingabe Einzelspieler'!$O$2:$V$124,8,FALSE)</f>
        <v>BGC Uerdingen</v>
      </c>
      <c r="D99" s="34">
        <f>IF($B99="",0,VLOOKUP($B99,'Eingabe Einzelspieler'!$A$2:$P$124,D$1,FALSE))</f>
        <v>98</v>
      </c>
      <c r="E99" s="34">
        <f>IF($B99="",0,VLOOKUP($B99,'Eingabe Einzelspieler'!$A$2:$P$124,E$1,FALSE))</f>
        <v>95</v>
      </c>
      <c r="F99" s="34">
        <f>IF($B99="",0,VLOOKUP($B99,'Eingabe Einzelspieler'!$A$2:$P$124,F$1,FALSE))</f>
        <v>97</v>
      </c>
      <c r="G99" s="34">
        <f>IF($B99="",0,VLOOKUP($B99,'Eingabe Einzelspieler'!$A$2:$P$124,G$1,FALSE))</f>
        <v>92</v>
      </c>
      <c r="H99" s="34">
        <f>IF($B99="",0,VLOOKUP($B99,'Eingabe Einzelspieler'!$A$2:$P$124,H$1,FALSE))</f>
        <v>99</v>
      </c>
      <c r="I99" s="34">
        <f>IF($B99="",0,VLOOKUP($B99,'Eingabe Einzelspieler'!$A$2:$P$124,I$1,FALSE))</f>
        <v>92</v>
      </c>
      <c r="J99" s="10">
        <f t="shared" si="108"/>
        <v>573</v>
      </c>
      <c r="K99" s="10">
        <f t="shared" si="109"/>
        <v>6</v>
      </c>
      <c r="L99" s="10">
        <f>IF($B99="",0,VLOOKUP($B99,'Eingabe Einzelspieler'!$A$2:$P$124,L$1,FALSE))</f>
        <v>0</v>
      </c>
      <c r="M99" s="10">
        <f>IF(('Eingabe Einzelspieler'!$I$125-1)&gt;K99,1,"")</f>
      </c>
      <c r="N99" s="10">
        <f>IF('Eingabe Einzelspieler'!$I$125=1,0,IF(K99='Eingabe Einzelspieler'!$I$125,1,0))</f>
        <v>1</v>
      </c>
      <c r="O99" s="10">
        <f t="shared" si="110"/>
        <v>99</v>
      </c>
      <c r="P99" s="10">
        <f t="shared" si="111"/>
        <v>474</v>
      </c>
      <c r="Q99" s="82">
        <f t="shared" si="112"/>
        <v>31.599999999999998</v>
      </c>
      <c r="R99" s="83">
        <f t="shared" si="94"/>
        <v>5</v>
      </c>
      <c r="S99" s="83">
        <f>COUNTIF(R$83:R99,R99)</f>
        <v>1</v>
      </c>
      <c r="T99" s="83">
        <f t="shared" si="113"/>
        <v>5</v>
      </c>
      <c r="U99" s="88">
        <f t="shared" si="114"/>
        <v>474.0005</v>
      </c>
      <c r="V99" s="34">
        <f t="shared" si="115"/>
        <v>17</v>
      </c>
      <c r="W99" s="88">
        <f t="shared" si="95"/>
        <v>2500.0102</v>
      </c>
      <c r="X99" s="83">
        <f t="shared" si="96"/>
        <v>12</v>
      </c>
      <c r="Y99" s="12">
        <f t="shared" si="116"/>
        <v>17</v>
      </c>
      <c r="Z99" s="50">
        <f t="shared" si="97"/>
        <v>0</v>
      </c>
      <c r="AA99" s="52" t="str">
        <f t="shared" si="118"/>
        <v>Wickermann, Hei</v>
      </c>
      <c r="AB99" s="52" t="str">
        <f t="shared" si="118"/>
        <v>1.MGC Gelsenkirchen</v>
      </c>
      <c r="AC99" s="12" t="str">
        <f t="shared" si="118"/>
        <v>ADW</v>
      </c>
      <c r="AD99" s="55">
        <f t="shared" si="118"/>
      </c>
      <c r="AE99" s="56">
        <f t="shared" si="118"/>
      </c>
      <c r="AF99" s="12">
        <f t="shared" si="118"/>
        <v>107</v>
      </c>
      <c r="AG99" s="12">
        <f t="shared" si="118"/>
        <v>0</v>
      </c>
      <c r="AH99" s="12">
        <f t="shared" si="118"/>
        <v>0</v>
      </c>
      <c r="AI99" s="12">
        <f t="shared" si="118"/>
        <v>0</v>
      </c>
      <c r="AJ99" s="12">
        <f t="shared" si="118"/>
        <v>96</v>
      </c>
      <c r="AK99" s="12">
        <f t="shared" si="118"/>
        <v>93</v>
      </c>
    </row>
    <row r="100" ht="12.75">
      <c r="W100" s="89"/>
    </row>
    <row r="101" spans="2:26" ht="12.75">
      <c r="B101" s="87" t="s">
        <v>42</v>
      </c>
      <c r="W101" s="89"/>
      <c r="Y101" s="64" t="str">
        <f>B101</f>
        <v>Senioren weiblich II</v>
      </c>
      <c r="Z101" s="79"/>
    </row>
    <row r="102" spans="1:37" ht="12.75">
      <c r="A102" s="52">
        <v>1</v>
      </c>
      <c r="B102" s="14" t="str">
        <f>VLOOKUP($A102,'Eingabe Einzelspieler'!$P$2:$V$124,6,FALSE)</f>
        <v>Deck, C</v>
      </c>
      <c r="C102" s="14" t="str">
        <f>VLOOKUP($A102,'Eingabe Einzelspieler'!$P$2:$V$124,7,FALSE)</f>
        <v>MGC "AS" Witten</v>
      </c>
      <c r="D102" s="34">
        <f>IF($B102="",0,VLOOKUP($B102,'Eingabe Einzelspieler'!$A$2:$P$124,D$1,FALSE))</f>
        <v>114</v>
      </c>
      <c r="E102" s="34">
        <f>IF($B102="",0,VLOOKUP($B102,'Eingabe Einzelspieler'!$A$2:$P$124,E$1,FALSE))</f>
        <v>114</v>
      </c>
      <c r="F102" s="34">
        <f>IF($B102="",0,VLOOKUP($B102,'Eingabe Einzelspieler'!$A$2:$P$124,F$1,FALSE))</f>
        <v>100</v>
      </c>
      <c r="G102" s="34">
        <f>IF($B102="",0,VLOOKUP($B102,'Eingabe Einzelspieler'!$A$2:$P$124,G$1,FALSE))</f>
        <v>115</v>
      </c>
      <c r="H102" s="34">
        <f>IF($B102="",0,VLOOKUP($B102,'Eingabe Einzelspieler'!$A$2:$P$124,H$1,FALSE))</f>
        <v>115</v>
      </c>
      <c r="I102" s="34">
        <f>IF($B102="",0,VLOOKUP($B102,'Eingabe Einzelspieler'!$A$2:$P$124,I$1,FALSE))</f>
        <v>120</v>
      </c>
      <c r="J102" s="10">
        <f aca="true" t="shared" si="119" ref="J102:J112">SUM(D102:I102)</f>
        <v>678</v>
      </c>
      <c r="K102" s="10">
        <f aca="true" t="shared" si="120" ref="K102:K112">COUNTIF(D102:I102,"&gt;0")</f>
        <v>6</v>
      </c>
      <c r="L102" s="10">
        <f>IF($B102="",0,VLOOKUP($B102,'Eingabe Einzelspieler'!$A$2:$P$124,L$1,FALSE))</f>
        <v>0</v>
      </c>
      <c r="M102" s="10">
        <f>IF(('Eingabe Einzelspieler'!$I$125-1)&gt;K102,1,"")</f>
      </c>
      <c r="N102" s="10">
        <f>IF('Eingabe Einzelspieler'!$I$125=1,0,IF(K102='Eingabe Einzelspieler'!$I$125,1,0))</f>
        <v>1</v>
      </c>
      <c r="O102" s="10">
        <f aca="true" t="shared" si="121" ref="O102:O112">IF(N102=1,LARGE(D102:I102,1),"")</f>
        <v>120</v>
      </c>
      <c r="P102" s="10">
        <f aca="true" t="shared" si="122" ref="P102:P112">IF(M102=1,"ADW",IF(N102=1,SUM(J102-O102),J102))</f>
        <v>558</v>
      </c>
      <c r="Q102" s="82">
        <f aca="true" t="shared" si="123" ref="Q102:Q112">IF(J102=0,0,IF(AND(K102=1,N102=1),J102/3,IF(M102=1,"",IF(N102=0,P102/K102/3,P102/(K102-N102)/3))))</f>
        <v>37.199999999999996</v>
      </c>
      <c r="R102" s="83">
        <f aca="true" t="shared" si="124" ref="R102:R112">IF(M102=1,100,RANK(P102,$P$102:$P$112,1))</f>
        <v>5</v>
      </c>
      <c r="S102" s="83">
        <f>COUNTIF(R$102:R102,R102)</f>
        <v>1</v>
      </c>
      <c r="T102" s="83">
        <f aca="true" t="shared" si="125" ref="T102:T112">R102+S102-1</f>
        <v>5</v>
      </c>
      <c r="U102" s="88">
        <f aca="true" t="shared" si="126" ref="U102:U112">IF(M102=1,2500+(T102/10000),P102+(T102/10000)+(L102/10))</f>
        <v>558.0005</v>
      </c>
      <c r="V102" s="34">
        <f aca="true" t="shared" si="127" ref="V102:V112">A102</f>
        <v>1</v>
      </c>
      <c r="W102" s="88">
        <f aca="true" t="shared" si="128" ref="W102:W112">SMALL(U$102:U$112,A102)</f>
        <v>463.0001</v>
      </c>
      <c r="X102" s="83">
        <f aca="true" t="shared" si="129" ref="X102:X112">VLOOKUP(W102,U$102:V$112,$X$1,FALSE)</f>
        <v>6</v>
      </c>
      <c r="Y102" s="12">
        <f aca="true" t="shared" si="130" ref="Y102:Y112">A102</f>
        <v>1</v>
      </c>
      <c r="Z102" s="50">
        <f aca="true" t="shared" si="131" ref="Z102:Z112">IF(VLOOKUP($X102,$A$102:$X$112,Z$1,FALSE)&gt;0,"x",0)</f>
        <v>0</v>
      </c>
      <c r="AA102" s="52" t="str">
        <f aca="true" t="shared" si="132" ref="AA102:AK112">VLOOKUP($X102,$A$102:$X$112,AA$1,FALSE)</f>
        <v>Reimer, I</v>
      </c>
      <c r="AB102" s="52" t="str">
        <f t="shared" si="132"/>
        <v>1.MGC Gelsenkirchen</v>
      </c>
      <c r="AC102" s="12">
        <f t="shared" si="132"/>
        <v>463</v>
      </c>
      <c r="AD102" s="55">
        <f t="shared" si="132"/>
        <v>99</v>
      </c>
      <c r="AE102" s="56">
        <f t="shared" si="132"/>
        <v>30.866666666666664</v>
      </c>
      <c r="AF102" s="12">
        <f t="shared" si="132"/>
        <v>99</v>
      </c>
      <c r="AG102" s="12">
        <f t="shared" si="132"/>
        <v>92</v>
      </c>
      <c r="AH102" s="12">
        <f t="shared" si="132"/>
        <v>88</v>
      </c>
      <c r="AI102" s="12">
        <f t="shared" si="132"/>
        <v>97</v>
      </c>
      <c r="AJ102" s="12">
        <f t="shared" si="132"/>
        <v>95</v>
      </c>
      <c r="AK102" s="12">
        <f t="shared" si="132"/>
        <v>91</v>
      </c>
    </row>
    <row r="103" spans="1:37" ht="12.75">
      <c r="A103" s="52">
        <v>2</v>
      </c>
      <c r="B103" s="14" t="str">
        <f>VLOOKUP($A103,'Eingabe Einzelspieler'!$P$2:$V$124,6,FALSE)</f>
        <v>Thurmann, Do</v>
      </c>
      <c r="C103" s="14" t="str">
        <f>VLOOKUP($A103,'Eingabe Einzelspieler'!$P$2:$V$124,7,FALSE)</f>
        <v>MGC "AS" Witten</v>
      </c>
      <c r="D103" s="34">
        <f>IF($B103="",0,VLOOKUP($B103,'Eingabe Einzelspieler'!$A$2:$P$124,D$1,FALSE))</f>
        <v>123</v>
      </c>
      <c r="E103" s="34">
        <f>IF($B103="",0,VLOOKUP($B103,'Eingabe Einzelspieler'!$A$2:$P$124,E$1,FALSE))</f>
        <v>112</v>
      </c>
      <c r="F103" s="34">
        <f>IF($B103="",0,VLOOKUP($B103,'Eingabe Einzelspieler'!$A$2:$P$124,F$1,FALSE))</f>
        <v>116</v>
      </c>
      <c r="G103" s="34">
        <f>IF($B103="",0,VLOOKUP($B103,'Eingabe Einzelspieler'!$A$2:$P$124,G$1,FALSE))</f>
        <v>113</v>
      </c>
      <c r="H103" s="34">
        <f>IF($B103="",0,VLOOKUP($B103,'Eingabe Einzelspieler'!$A$2:$P$124,H$1,FALSE))</f>
        <v>112</v>
      </c>
      <c r="I103" s="34">
        <f>IF($B103="",0,VLOOKUP($B103,'Eingabe Einzelspieler'!$A$2:$P$124,I$1,FALSE))</f>
        <v>105</v>
      </c>
      <c r="J103" s="10">
        <f t="shared" si="119"/>
        <v>681</v>
      </c>
      <c r="K103" s="10">
        <f t="shared" si="120"/>
        <v>6</v>
      </c>
      <c r="L103" s="10">
        <f>IF($B103="",0,VLOOKUP($B103,'Eingabe Einzelspieler'!$A$2:$P$124,L$1,FALSE))</f>
        <v>0</v>
      </c>
      <c r="M103" s="10">
        <f>IF(('Eingabe Einzelspieler'!$I$125-1)&gt;K103,1,"")</f>
      </c>
      <c r="N103" s="10">
        <f>IF('Eingabe Einzelspieler'!$I$125=1,0,IF(K103='Eingabe Einzelspieler'!$I$125,1,0))</f>
        <v>1</v>
      </c>
      <c r="O103" s="10">
        <f t="shared" si="121"/>
        <v>123</v>
      </c>
      <c r="P103" s="10">
        <f t="shared" si="122"/>
        <v>558</v>
      </c>
      <c r="Q103" s="82">
        <f t="shared" si="123"/>
        <v>37.199999999999996</v>
      </c>
      <c r="R103" s="83">
        <f t="shared" si="124"/>
        <v>5</v>
      </c>
      <c r="S103" s="83">
        <f>COUNTIF(R$102:R103,R103)</f>
        <v>2</v>
      </c>
      <c r="T103" s="83">
        <f t="shared" si="125"/>
        <v>6</v>
      </c>
      <c r="U103" s="88">
        <f t="shared" si="126"/>
        <v>558.0006</v>
      </c>
      <c r="V103" s="34">
        <f t="shared" si="127"/>
        <v>2</v>
      </c>
      <c r="W103" s="88">
        <f t="shared" si="128"/>
        <v>481.0002</v>
      </c>
      <c r="X103" s="83">
        <f t="shared" si="129"/>
        <v>3</v>
      </c>
      <c r="Y103" s="12">
        <f t="shared" si="130"/>
        <v>2</v>
      </c>
      <c r="Z103" s="50">
        <f t="shared" si="131"/>
        <v>0</v>
      </c>
      <c r="AA103" s="52" t="str">
        <f t="shared" si="132"/>
        <v>Barschdorf, A</v>
      </c>
      <c r="AB103" s="52" t="str">
        <f t="shared" si="132"/>
        <v>1.MGC Gelsenkirchen</v>
      </c>
      <c r="AC103" s="12">
        <f t="shared" si="132"/>
        <v>481</v>
      </c>
      <c r="AD103" s="55">
        <f t="shared" si="132"/>
        <v>100</v>
      </c>
      <c r="AE103" s="56">
        <f t="shared" si="132"/>
        <v>32.06666666666667</v>
      </c>
      <c r="AF103" s="12">
        <f t="shared" si="132"/>
        <v>99</v>
      </c>
      <c r="AG103" s="12">
        <f t="shared" si="132"/>
        <v>98</v>
      </c>
      <c r="AH103" s="12">
        <f t="shared" si="132"/>
        <v>100</v>
      </c>
      <c r="AI103" s="12">
        <f t="shared" si="132"/>
        <v>91</v>
      </c>
      <c r="AJ103" s="12">
        <f t="shared" si="132"/>
        <v>100</v>
      </c>
      <c r="AK103" s="12">
        <f t="shared" si="132"/>
        <v>93</v>
      </c>
    </row>
    <row r="104" spans="1:37" ht="12.75">
      <c r="A104" s="52">
        <v>3</v>
      </c>
      <c r="B104" s="14" t="str">
        <f>VLOOKUP($A104,'Eingabe Einzelspieler'!$P$2:$V$124,6,FALSE)</f>
        <v>Barschdorf, A</v>
      </c>
      <c r="C104" s="14" t="str">
        <f>VLOOKUP($A104,'Eingabe Einzelspieler'!$P$2:$V$124,7,FALSE)</f>
        <v>1.MGC Gelsenkirchen</v>
      </c>
      <c r="D104" s="34">
        <f>IF($B104="",0,VLOOKUP($B104,'Eingabe Einzelspieler'!$A$2:$P$124,D$1,FALSE))</f>
        <v>99</v>
      </c>
      <c r="E104" s="34">
        <f>IF($B104="",0,VLOOKUP($B104,'Eingabe Einzelspieler'!$A$2:$P$124,E$1,FALSE))</f>
        <v>98</v>
      </c>
      <c r="F104" s="34">
        <f>IF($B104="",0,VLOOKUP($B104,'Eingabe Einzelspieler'!$A$2:$P$124,F$1,FALSE))</f>
        <v>100</v>
      </c>
      <c r="G104" s="34">
        <f>IF($B104="",0,VLOOKUP($B104,'Eingabe Einzelspieler'!$A$2:$P$124,G$1,FALSE))</f>
        <v>91</v>
      </c>
      <c r="H104" s="34">
        <f>IF($B104="",0,VLOOKUP($B104,'Eingabe Einzelspieler'!$A$2:$P$124,H$1,FALSE))</f>
        <v>100</v>
      </c>
      <c r="I104" s="34">
        <f>IF($B104="",0,VLOOKUP($B104,'Eingabe Einzelspieler'!$A$2:$P$124,I$1,FALSE))</f>
        <v>93</v>
      </c>
      <c r="J104" s="10">
        <f t="shared" si="119"/>
        <v>581</v>
      </c>
      <c r="K104" s="10">
        <f t="shared" si="120"/>
        <v>6</v>
      </c>
      <c r="L104" s="10">
        <f>IF($B104="",0,VLOOKUP($B104,'Eingabe Einzelspieler'!$A$2:$P$124,L$1,FALSE))</f>
        <v>0</v>
      </c>
      <c r="M104" s="10">
        <f>IF(('Eingabe Einzelspieler'!$I$125-1)&gt;K104,1,"")</f>
      </c>
      <c r="N104" s="10">
        <f>IF('Eingabe Einzelspieler'!$I$125=1,0,IF(K104='Eingabe Einzelspieler'!$I$125,1,0))</f>
        <v>1</v>
      </c>
      <c r="O104" s="10">
        <f t="shared" si="121"/>
        <v>100</v>
      </c>
      <c r="P104" s="10">
        <f t="shared" si="122"/>
        <v>481</v>
      </c>
      <c r="Q104" s="82">
        <f t="shared" si="123"/>
        <v>32.06666666666667</v>
      </c>
      <c r="R104" s="83">
        <f t="shared" si="124"/>
        <v>2</v>
      </c>
      <c r="S104" s="83">
        <f>COUNTIF(R$102:R104,R104)</f>
        <v>1</v>
      </c>
      <c r="T104" s="83">
        <f t="shared" si="125"/>
        <v>2</v>
      </c>
      <c r="U104" s="88">
        <f t="shared" si="126"/>
        <v>481.0002</v>
      </c>
      <c r="V104" s="34">
        <f t="shared" si="127"/>
        <v>3</v>
      </c>
      <c r="W104" s="88">
        <f t="shared" si="128"/>
        <v>535.0003</v>
      </c>
      <c r="X104" s="83">
        <f t="shared" si="129"/>
        <v>9</v>
      </c>
      <c r="Y104" s="12">
        <f t="shared" si="130"/>
        <v>3</v>
      </c>
      <c r="Z104" s="50">
        <f t="shared" si="131"/>
        <v>0</v>
      </c>
      <c r="AA104" s="52" t="str">
        <f t="shared" si="132"/>
        <v>Kuhl, M</v>
      </c>
      <c r="AB104" s="52" t="str">
        <f t="shared" si="132"/>
        <v>MGC Neviges</v>
      </c>
      <c r="AC104" s="12">
        <f t="shared" si="132"/>
        <v>535</v>
      </c>
      <c r="AD104" s="55">
        <f t="shared" si="132"/>
        <v>114</v>
      </c>
      <c r="AE104" s="56">
        <f t="shared" si="132"/>
        <v>35.666666666666664</v>
      </c>
      <c r="AF104" s="12">
        <f t="shared" si="132"/>
        <v>114</v>
      </c>
      <c r="AG104" s="12">
        <f t="shared" si="132"/>
        <v>104</v>
      </c>
      <c r="AH104" s="12">
        <f t="shared" si="132"/>
        <v>111</v>
      </c>
      <c r="AI104" s="12">
        <f t="shared" si="132"/>
        <v>111</v>
      </c>
      <c r="AJ104" s="12">
        <f t="shared" si="132"/>
        <v>106</v>
      </c>
      <c r="AK104" s="12">
        <f t="shared" si="132"/>
        <v>103</v>
      </c>
    </row>
    <row r="105" spans="1:37" ht="12.75">
      <c r="A105" s="52">
        <v>4</v>
      </c>
      <c r="B105" s="14" t="str">
        <f>VLOOKUP($A105,'Eingabe Einzelspieler'!$P$2:$V$124,6,FALSE)</f>
        <v>Kaup, M</v>
      </c>
      <c r="C105" s="14" t="str">
        <f>VLOOKUP($A105,'Eingabe Einzelspieler'!$P$2:$V$124,7,FALSE)</f>
        <v>1.MGC Gelsenkirchen</v>
      </c>
      <c r="D105" s="34">
        <f>IF($B105="",0,VLOOKUP($B105,'Eingabe Einzelspieler'!$A$2:$P$124,D$1,FALSE))</f>
        <v>119</v>
      </c>
      <c r="E105" s="34">
        <f>IF($B105="",0,VLOOKUP($B105,'Eingabe Einzelspieler'!$A$2:$P$124,E$1,FALSE))</f>
        <v>114</v>
      </c>
      <c r="F105" s="34">
        <f>IF($B105="",0,VLOOKUP($B105,'Eingabe Einzelspieler'!$A$2:$P$124,F$1,FALSE))</f>
        <v>103</v>
      </c>
      <c r="G105" s="34">
        <f>IF($B105="",0,VLOOKUP($B105,'Eingabe Einzelspieler'!$A$2:$P$124,G$1,FALSE))</f>
        <v>112</v>
      </c>
      <c r="H105" s="34">
        <f>IF($B105="",0,VLOOKUP($B105,'Eingabe Einzelspieler'!$A$2:$P$124,H$1,FALSE))</f>
        <v>114</v>
      </c>
      <c r="I105" s="34">
        <f>IF($B105="",0,VLOOKUP($B105,'Eingabe Einzelspieler'!$A$2:$P$124,I$1,FALSE))</f>
        <v>106</v>
      </c>
      <c r="J105" s="10">
        <f t="shared" si="119"/>
        <v>668</v>
      </c>
      <c r="K105" s="10">
        <f t="shared" si="120"/>
        <v>6</v>
      </c>
      <c r="L105" s="10">
        <f>IF($B105="",0,VLOOKUP($B105,'Eingabe Einzelspieler'!$A$2:$P$124,L$1,FALSE))</f>
        <v>0</v>
      </c>
      <c r="M105" s="10">
        <f>IF(('Eingabe Einzelspieler'!$I$125-1)&gt;K105,1,"")</f>
      </c>
      <c r="N105" s="10">
        <f>IF('Eingabe Einzelspieler'!$I$125=1,0,IF(K105='Eingabe Einzelspieler'!$I$125,1,0))</f>
        <v>1</v>
      </c>
      <c r="O105" s="10">
        <f t="shared" si="121"/>
        <v>119</v>
      </c>
      <c r="P105" s="10">
        <f t="shared" si="122"/>
        <v>549</v>
      </c>
      <c r="Q105" s="82">
        <f t="shared" si="123"/>
        <v>36.6</v>
      </c>
      <c r="R105" s="83">
        <f t="shared" si="124"/>
        <v>4</v>
      </c>
      <c r="S105" s="83">
        <f>COUNTIF(R$102:R105,R105)</f>
        <v>1</v>
      </c>
      <c r="T105" s="83">
        <f t="shared" si="125"/>
        <v>4</v>
      </c>
      <c r="U105" s="88">
        <f t="shared" si="126"/>
        <v>549.0004</v>
      </c>
      <c r="V105" s="34">
        <f t="shared" si="127"/>
        <v>4</v>
      </c>
      <c r="W105" s="88">
        <f t="shared" si="128"/>
        <v>549.0004</v>
      </c>
      <c r="X105" s="83">
        <f t="shared" si="129"/>
        <v>4</v>
      </c>
      <c r="Y105" s="12">
        <f t="shared" si="130"/>
        <v>4</v>
      </c>
      <c r="Z105" s="50">
        <f t="shared" si="131"/>
        <v>0</v>
      </c>
      <c r="AA105" s="52" t="str">
        <f t="shared" si="132"/>
        <v>Kaup, M</v>
      </c>
      <c r="AB105" s="52" t="str">
        <f t="shared" si="132"/>
        <v>1.MGC Gelsenkirchen</v>
      </c>
      <c r="AC105" s="12">
        <f t="shared" si="132"/>
        <v>549</v>
      </c>
      <c r="AD105" s="55">
        <f t="shared" si="132"/>
        <v>119</v>
      </c>
      <c r="AE105" s="56">
        <f t="shared" si="132"/>
        <v>36.6</v>
      </c>
      <c r="AF105" s="12">
        <f t="shared" si="132"/>
        <v>119</v>
      </c>
      <c r="AG105" s="12">
        <f t="shared" si="132"/>
        <v>114</v>
      </c>
      <c r="AH105" s="12">
        <f t="shared" si="132"/>
        <v>103</v>
      </c>
      <c r="AI105" s="12">
        <f t="shared" si="132"/>
        <v>112</v>
      </c>
      <c r="AJ105" s="12">
        <f t="shared" si="132"/>
        <v>114</v>
      </c>
      <c r="AK105" s="12">
        <f t="shared" si="132"/>
        <v>106</v>
      </c>
    </row>
    <row r="106" spans="1:37" ht="12.75">
      <c r="A106" s="52">
        <v>5</v>
      </c>
      <c r="B106" s="14" t="str">
        <f>VLOOKUP($A106,'Eingabe Einzelspieler'!$P$2:$V$124,6,FALSE)</f>
        <v>König, M</v>
      </c>
      <c r="C106" s="14" t="str">
        <f>VLOOKUP($A106,'Eingabe Einzelspieler'!$P$2:$V$124,7,FALSE)</f>
        <v>1.MGC Gelsenkirchen</v>
      </c>
      <c r="D106" s="34">
        <f>IF($B106="",0,VLOOKUP($B106,'Eingabe Einzelspieler'!$A$2:$P$124,D$1,FALSE))</f>
        <v>125</v>
      </c>
      <c r="E106" s="34">
        <f>IF($B106="",0,VLOOKUP($B106,'Eingabe Einzelspieler'!$A$2:$P$124,E$1,FALSE))</f>
        <v>121</v>
      </c>
      <c r="F106" s="34">
        <f>IF($B106="",0,VLOOKUP($B106,'Eingabe Einzelspieler'!$A$2:$P$124,F$1,FALSE))</f>
        <v>0</v>
      </c>
      <c r="G106" s="34">
        <f>IF($B106="",0,VLOOKUP($B106,'Eingabe Einzelspieler'!$A$2:$P$124,G$1,FALSE))</f>
        <v>130</v>
      </c>
      <c r="H106" s="34">
        <f>IF($B106="",0,VLOOKUP($B106,'Eingabe Einzelspieler'!$A$2:$P$124,H$1,FALSE))</f>
        <v>0</v>
      </c>
      <c r="I106" s="34">
        <f>IF($B106="",0,VLOOKUP($B106,'Eingabe Einzelspieler'!$A$2:$P$124,I$1,FALSE))</f>
        <v>107</v>
      </c>
      <c r="J106" s="10">
        <f t="shared" si="119"/>
        <v>483</v>
      </c>
      <c r="K106" s="10">
        <f t="shared" si="120"/>
        <v>4</v>
      </c>
      <c r="L106" s="10">
        <f>IF($B106="",0,VLOOKUP($B106,'Eingabe Einzelspieler'!$A$2:$P$124,L$1,FALSE))</f>
        <v>0</v>
      </c>
      <c r="M106" s="10">
        <f>IF(('Eingabe Einzelspieler'!$I$125-1)&gt;K106,1,"")</f>
        <v>1</v>
      </c>
      <c r="N106" s="10">
        <f>IF('Eingabe Einzelspieler'!$I$125=1,0,IF(K106='Eingabe Einzelspieler'!$I$125,1,0))</f>
        <v>0</v>
      </c>
      <c r="O106" s="10">
        <f t="shared" si="121"/>
      </c>
      <c r="P106" s="10" t="str">
        <f t="shared" si="122"/>
        <v>ADW</v>
      </c>
      <c r="Q106" s="82">
        <f t="shared" si="123"/>
      </c>
      <c r="R106" s="83">
        <f t="shared" si="124"/>
        <v>100</v>
      </c>
      <c r="S106" s="83">
        <f>COUNTIF(R$102:R106,R106)</f>
        <v>1</v>
      </c>
      <c r="T106" s="83">
        <f t="shared" si="125"/>
        <v>100</v>
      </c>
      <c r="U106" s="88">
        <f t="shared" si="126"/>
        <v>2500.01</v>
      </c>
      <c r="V106" s="34">
        <f t="shared" si="127"/>
        <v>5</v>
      </c>
      <c r="W106" s="88">
        <f t="shared" si="128"/>
        <v>558.0005</v>
      </c>
      <c r="X106" s="83">
        <f t="shared" si="129"/>
        <v>1</v>
      </c>
      <c r="Y106" s="12">
        <f t="shared" si="130"/>
        <v>5</v>
      </c>
      <c r="Z106" s="50">
        <f t="shared" si="131"/>
        <v>0</v>
      </c>
      <c r="AA106" s="101" t="str">
        <f t="shared" si="132"/>
        <v>Deck, C</v>
      </c>
      <c r="AB106" s="101" t="str">
        <f t="shared" si="132"/>
        <v>MGC "AS" Witten</v>
      </c>
      <c r="AC106" s="102">
        <f t="shared" si="132"/>
        <v>558</v>
      </c>
      <c r="AD106" s="55">
        <f t="shared" si="132"/>
        <v>120</v>
      </c>
      <c r="AE106" s="56">
        <f t="shared" si="132"/>
        <v>37.199999999999996</v>
      </c>
      <c r="AF106" s="12">
        <f t="shared" si="132"/>
        <v>114</v>
      </c>
      <c r="AG106" s="12">
        <f t="shared" si="132"/>
        <v>114</v>
      </c>
      <c r="AH106" s="12">
        <f t="shared" si="132"/>
        <v>100</v>
      </c>
      <c r="AI106" s="12">
        <f t="shared" si="132"/>
        <v>115</v>
      </c>
      <c r="AJ106" s="12">
        <f t="shared" si="132"/>
        <v>115</v>
      </c>
      <c r="AK106" s="12">
        <f t="shared" si="132"/>
        <v>120</v>
      </c>
    </row>
    <row r="107" spans="1:37" ht="12.75">
      <c r="A107" s="52">
        <v>6</v>
      </c>
      <c r="B107" s="14" t="str">
        <f>VLOOKUP($A107,'Eingabe Einzelspieler'!$P$2:$V$124,6,FALSE)</f>
        <v>Reimer, I</v>
      </c>
      <c r="C107" s="14" t="str">
        <f>VLOOKUP($A107,'Eingabe Einzelspieler'!$P$2:$V$124,7,FALSE)</f>
        <v>1.MGC Gelsenkirchen</v>
      </c>
      <c r="D107" s="34">
        <f>IF($B107="",0,VLOOKUP($B107,'Eingabe Einzelspieler'!$A$2:$P$124,D$1,FALSE))</f>
        <v>99</v>
      </c>
      <c r="E107" s="34">
        <f>IF($B107="",0,VLOOKUP($B107,'Eingabe Einzelspieler'!$A$2:$P$124,E$1,FALSE))</f>
        <v>92</v>
      </c>
      <c r="F107" s="34">
        <f>IF($B107="",0,VLOOKUP($B107,'Eingabe Einzelspieler'!$A$2:$P$124,F$1,FALSE))</f>
        <v>88</v>
      </c>
      <c r="G107" s="34">
        <f>IF($B107="",0,VLOOKUP($B107,'Eingabe Einzelspieler'!$A$2:$P$124,G$1,FALSE))</f>
        <v>97</v>
      </c>
      <c r="H107" s="34">
        <f>IF($B107="",0,VLOOKUP($B107,'Eingabe Einzelspieler'!$A$2:$P$124,H$1,FALSE))</f>
        <v>95</v>
      </c>
      <c r="I107" s="34">
        <f>IF($B107="",0,VLOOKUP($B107,'Eingabe Einzelspieler'!$A$2:$P$124,I$1,FALSE))</f>
        <v>91</v>
      </c>
      <c r="J107" s="10">
        <f>SUM(D107:I107)</f>
        <v>562</v>
      </c>
      <c r="K107" s="10">
        <f>COUNTIF(D107:I107,"&gt;0")</f>
        <v>6</v>
      </c>
      <c r="L107" s="10">
        <f>IF($B107="",0,VLOOKUP($B107,'Eingabe Einzelspieler'!$A$2:$P$124,L$1,FALSE))</f>
        <v>0</v>
      </c>
      <c r="M107" s="10">
        <f>IF(('Eingabe Einzelspieler'!$I$125-1)&gt;K107,1,"")</f>
      </c>
      <c r="N107" s="10">
        <f>IF('Eingabe Einzelspieler'!$I$125=1,0,IF(K107='Eingabe Einzelspieler'!$I$125,1,0))</f>
        <v>1</v>
      </c>
      <c r="O107" s="10">
        <f>IF(N107=1,LARGE(D107:I107,1),"")</f>
        <v>99</v>
      </c>
      <c r="P107" s="10">
        <f>IF(M107=1,"ADW",IF(N107=1,SUM(J107-O107),J107))</f>
        <v>463</v>
      </c>
      <c r="Q107" s="82">
        <f>IF(J107=0,0,IF(AND(K107=1,N107=1),J107/3,IF(M107=1,"",IF(N107=0,P107/K107/3,P107/(K107-N107)/3))))</f>
        <v>30.866666666666664</v>
      </c>
      <c r="R107" s="83">
        <f t="shared" si="124"/>
        <v>1</v>
      </c>
      <c r="S107" s="83">
        <f>COUNTIF(R$102:R107,R107)</f>
        <v>1</v>
      </c>
      <c r="T107" s="83">
        <f>R107+S107-1</f>
        <v>1</v>
      </c>
      <c r="U107" s="88">
        <f>IF(M107=1,2500+(T107/10000),P107+(T107/10000)+(L107/10))</f>
        <v>463.0001</v>
      </c>
      <c r="V107" s="34">
        <f>A107</f>
        <v>6</v>
      </c>
      <c r="W107" s="88">
        <f t="shared" si="128"/>
        <v>558.0006</v>
      </c>
      <c r="X107" s="83">
        <f t="shared" si="129"/>
        <v>2</v>
      </c>
      <c r="Y107" s="12">
        <f>A107</f>
        <v>6</v>
      </c>
      <c r="Z107" s="50">
        <f t="shared" si="131"/>
        <v>0</v>
      </c>
      <c r="AA107" s="101" t="str">
        <f t="shared" si="132"/>
        <v>Thurmann, Do</v>
      </c>
      <c r="AB107" s="101" t="str">
        <f t="shared" si="132"/>
        <v>MGC "AS" Witten</v>
      </c>
      <c r="AC107" s="102">
        <f t="shared" si="132"/>
        <v>558</v>
      </c>
      <c r="AD107" s="55">
        <f t="shared" si="132"/>
        <v>123</v>
      </c>
      <c r="AE107" s="56">
        <f t="shared" si="132"/>
        <v>37.199999999999996</v>
      </c>
      <c r="AF107" s="12">
        <f t="shared" si="132"/>
        <v>123</v>
      </c>
      <c r="AG107" s="12">
        <f t="shared" si="132"/>
        <v>112</v>
      </c>
      <c r="AH107" s="12">
        <f t="shared" si="132"/>
        <v>116</v>
      </c>
      <c r="AI107" s="12">
        <f t="shared" si="132"/>
        <v>113</v>
      </c>
      <c r="AJ107" s="12">
        <f t="shared" si="132"/>
        <v>112</v>
      </c>
      <c r="AK107" s="12">
        <f t="shared" si="132"/>
        <v>105</v>
      </c>
    </row>
    <row r="108" spans="1:37" ht="12.75" hidden="1">
      <c r="A108" s="52">
        <v>7</v>
      </c>
      <c r="B108" s="14" t="str">
        <f>VLOOKUP($A108,'Eingabe Einzelspieler'!$P$2:$V$124,6,FALSE)</f>
        <v>Templin, I</v>
      </c>
      <c r="C108" s="14" t="str">
        <f>VLOOKUP($A108,'Eingabe Einzelspieler'!$P$2:$V$124,7,FALSE)</f>
        <v>1.MGC Gelsenkirchen</v>
      </c>
      <c r="D108" s="34">
        <f>IF($B108="",0,VLOOKUP($B108,'Eingabe Einzelspieler'!$A$2:$P$124,D$1,FALSE))</f>
        <v>98</v>
      </c>
      <c r="E108" s="34">
        <f>IF($B108="",0,VLOOKUP($B108,'Eingabe Einzelspieler'!$A$2:$P$124,E$1,FALSE))</f>
        <v>93</v>
      </c>
      <c r="F108" s="34">
        <f>IF($B108="",0,VLOOKUP($B108,'Eingabe Einzelspieler'!$A$2:$P$124,F$1,FALSE))</f>
        <v>101</v>
      </c>
      <c r="G108" s="34">
        <f>IF($B108="",0,VLOOKUP($B108,'Eingabe Einzelspieler'!$A$2:$P$124,G$1,FALSE))</f>
        <v>0</v>
      </c>
      <c r="H108" s="34">
        <f>IF($B108="",0,VLOOKUP($B108,'Eingabe Einzelspieler'!$A$2:$P$124,H$1,FALSE))</f>
        <v>0</v>
      </c>
      <c r="I108" s="34">
        <f>IF($B108="",0,VLOOKUP($B108,'Eingabe Einzelspieler'!$A$2:$P$124,I$1,FALSE))</f>
        <v>0</v>
      </c>
      <c r="J108" s="10">
        <f>SUM(D108:I108)</f>
        <v>292</v>
      </c>
      <c r="K108" s="10">
        <f>COUNTIF(D108:I108,"&gt;0")</f>
        <v>3</v>
      </c>
      <c r="L108" s="10">
        <f>IF($B108="",0,VLOOKUP($B108,'Eingabe Einzelspieler'!$A$2:$P$124,L$1,FALSE))</f>
        <v>0</v>
      </c>
      <c r="M108" s="10">
        <f>IF(('Eingabe Einzelspieler'!$I$125-1)&gt;K108,1,"")</f>
        <v>1</v>
      </c>
      <c r="N108" s="10">
        <f>IF('Eingabe Einzelspieler'!$I$125=1,0,IF(K108='Eingabe Einzelspieler'!$I$125,1,0))</f>
        <v>0</v>
      </c>
      <c r="O108" s="10">
        <f>IF(N108=1,LARGE(D108:I108,1),"")</f>
      </c>
      <c r="P108" s="10" t="str">
        <f>IF(M108=1,"ADW",IF(N108=1,SUM(J108-O108),J108))</f>
        <v>ADW</v>
      </c>
      <c r="Q108" s="82">
        <f>IF(J108=0,0,IF(AND(K108=1,N108=1),J108/3,IF(M108=1,"",IF(N108=0,P108/K108/3,P108/(K108-N108)/3))))</f>
      </c>
      <c r="R108" s="83">
        <f t="shared" si="124"/>
        <v>100</v>
      </c>
      <c r="S108" s="83">
        <f>COUNTIF(R$102:R108,R108)</f>
        <v>2</v>
      </c>
      <c r="T108" s="83">
        <f>R108+S108-1</f>
        <v>101</v>
      </c>
      <c r="U108" s="88">
        <f>IF(M108=1,2500+(T108/10000),P108+(T108/10000)+(L108/10))</f>
        <v>2500.0101</v>
      </c>
      <c r="V108" s="34">
        <f>A108</f>
        <v>7</v>
      </c>
      <c r="W108" s="88">
        <f t="shared" si="128"/>
        <v>2500.01</v>
      </c>
      <c r="X108" s="83">
        <f t="shared" si="129"/>
        <v>5</v>
      </c>
      <c r="Y108" s="12">
        <f>A108</f>
        <v>7</v>
      </c>
      <c r="Z108" s="50">
        <f t="shared" si="131"/>
        <v>0</v>
      </c>
      <c r="AA108" s="52" t="str">
        <f t="shared" si="132"/>
        <v>König, M</v>
      </c>
      <c r="AB108" s="52" t="str">
        <f t="shared" si="132"/>
        <v>1.MGC Gelsenkirchen</v>
      </c>
      <c r="AC108" s="12" t="str">
        <f t="shared" si="132"/>
        <v>ADW</v>
      </c>
      <c r="AD108" s="55">
        <f t="shared" si="132"/>
      </c>
      <c r="AE108" s="56">
        <f t="shared" si="132"/>
      </c>
      <c r="AF108" s="12">
        <f t="shared" si="132"/>
        <v>125</v>
      </c>
      <c r="AG108" s="12">
        <f t="shared" si="132"/>
        <v>121</v>
      </c>
      <c r="AH108" s="12">
        <f t="shared" si="132"/>
        <v>0</v>
      </c>
      <c r="AI108" s="12">
        <f t="shared" si="132"/>
        <v>130</v>
      </c>
      <c r="AJ108" s="12">
        <f t="shared" si="132"/>
        <v>0</v>
      </c>
      <c r="AK108" s="12">
        <f t="shared" si="132"/>
        <v>107</v>
      </c>
    </row>
    <row r="109" spans="1:37" ht="12.75" hidden="1">
      <c r="A109" s="52">
        <v>8</v>
      </c>
      <c r="B109" s="14" t="str">
        <f>VLOOKUP($A109,'Eingabe Einzelspieler'!$P$2:$V$124,6,FALSE)</f>
        <v>Rüger, Joh</v>
      </c>
      <c r="C109" s="14" t="str">
        <f>VLOOKUP($A109,'Eingabe Einzelspieler'!$P$2:$V$124,7,FALSE)</f>
        <v>1.MSC Wesel</v>
      </c>
      <c r="D109" s="34">
        <f>IF($B109="",0,VLOOKUP($B109,'Eingabe Einzelspieler'!$A$2:$P$124,D$1,FALSE))</f>
        <v>137</v>
      </c>
      <c r="E109" s="34">
        <f>IF($B109="",0,VLOOKUP($B109,'Eingabe Einzelspieler'!$A$2:$P$124,E$1,FALSE))</f>
        <v>0</v>
      </c>
      <c r="F109" s="34">
        <f>IF($B109="",0,VLOOKUP($B109,'Eingabe Einzelspieler'!$A$2:$P$124,F$1,FALSE))</f>
        <v>0</v>
      </c>
      <c r="G109" s="34">
        <f>IF($B109="",0,VLOOKUP($B109,'Eingabe Einzelspieler'!$A$2:$P$124,G$1,FALSE))</f>
        <v>111</v>
      </c>
      <c r="H109" s="34">
        <f>IF($B109="",0,VLOOKUP($B109,'Eingabe Einzelspieler'!$A$2:$P$124,H$1,FALSE))</f>
        <v>0</v>
      </c>
      <c r="I109" s="34">
        <f>IF($B109="",0,VLOOKUP($B109,'Eingabe Einzelspieler'!$A$2:$P$124,I$1,FALSE))</f>
        <v>0</v>
      </c>
      <c r="J109" s="10">
        <f>SUM(D109:I109)</f>
        <v>248</v>
      </c>
      <c r="K109" s="10">
        <f>COUNTIF(D109:I109,"&gt;0")</f>
        <v>2</v>
      </c>
      <c r="L109" s="10">
        <f>IF($B109="",0,VLOOKUP($B109,'Eingabe Einzelspieler'!$A$2:$P$124,L$1,FALSE))</f>
        <v>0</v>
      </c>
      <c r="M109" s="10">
        <f>IF(('Eingabe Einzelspieler'!$I$125-1)&gt;K109,1,"")</f>
        <v>1</v>
      </c>
      <c r="N109" s="10">
        <f>IF('Eingabe Einzelspieler'!$I$125=1,0,IF(K109='Eingabe Einzelspieler'!$I$125,1,0))</f>
        <v>0</v>
      </c>
      <c r="O109" s="10">
        <f>IF(N109=1,LARGE(D109:I109,1),"")</f>
      </c>
      <c r="P109" s="10" t="str">
        <f>IF(M109=1,"ADW",IF(N109=1,SUM(J109-O109),J109))</f>
        <v>ADW</v>
      </c>
      <c r="Q109" s="82">
        <f>IF(J109=0,0,IF(AND(K109=1,N109=1),J109/3,IF(M109=1,"",IF(N109=0,P109/K109/3,P109/(K109-N109)/3))))</f>
      </c>
      <c r="R109" s="83">
        <f t="shared" si="124"/>
        <v>100</v>
      </c>
      <c r="S109" s="83">
        <f>COUNTIF(R$102:R109,R109)</f>
        <v>3</v>
      </c>
      <c r="T109" s="83">
        <f>R109+S109-1</f>
        <v>102</v>
      </c>
      <c r="U109" s="88">
        <f>IF(M109=1,2500+(T109/10000),P109+(T109/10000)+(L109/10))</f>
        <v>2500.0102</v>
      </c>
      <c r="V109" s="34">
        <f>A109</f>
        <v>8</v>
      </c>
      <c r="W109" s="88">
        <f t="shared" si="128"/>
        <v>2500.0101</v>
      </c>
      <c r="X109" s="83">
        <f t="shared" si="129"/>
        <v>7</v>
      </c>
      <c r="Y109" s="12">
        <f>A109</f>
        <v>8</v>
      </c>
      <c r="Z109" s="50">
        <f t="shared" si="131"/>
        <v>0</v>
      </c>
      <c r="AA109" s="52" t="str">
        <f t="shared" si="132"/>
        <v>Templin, I</v>
      </c>
      <c r="AB109" s="52" t="str">
        <f t="shared" si="132"/>
        <v>1.MGC Gelsenkirchen</v>
      </c>
      <c r="AC109" s="12" t="str">
        <f t="shared" si="132"/>
        <v>ADW</v>
      </c>
      <c r="AD109" s="55">
        <f t="shared" si="132"/>
      </c>
      <c r="AE109" s="56">
        <f t="shared" si="132"/>
      </c>
      <c r="AF109" s="12">
        <f t="shared" si="132"/>
        <v>98</v>
      </c>
      <c r="AG109" s="12">
        <f t="shared" si="132"/>
        <v>93</v>
      </c>
      <c r="AH109" s="12">
        <f t="shared" si="132"/>
        <v>101</v>
      </c>
      <c r="AI109" s="12">
        <f t="shared" si="132"/>
        <v>0</v>
      </c>
      <c r="AJ109" s="12">
        <f t="shared" si="132"/>
        <v>0</v>
      </c>
      <c r="AK109" s="12">
        <f t="shared" si="132"/>
        <v>0</v>
      </c>
    </row>
    <row r="110" spans="1:37" ht="12.75" hidden="1">
      <c r="A110" s="52">
        <v>9</v>
      </c>
      <c r="B110" s="14" t="str">
        <f>VLOOKUP($A110,'Eingabe Einzelspieler'!$P$2:$V$124,6,FALSE)</f>
        <v>Kuhl, M</v>
      </c>
      <c r="C110" s="14" t="str">
        <f>VLOOKUP($A110,'Eingabe Einzelspieler'!$P$2:$V$124,7,FALSE)</f>
        <v>MGC Neviges</v>
      </c>
      <c r="D110" s="34">
        <f>IF($B110="",0,VLOOKUP($B110,'Eingabe Einzelspieler'!$A$2:$P$124,D$1,FALSE))</f>
        <v>114</v>
      </c>
      <c r="E110" s="34">
        <f>IF($B110="",0,VLOOKUP($B110,'Eingabe Einzelspieler'!$A$2:$P$124,E$1,FALSE))</f>
        <v>104</v>
      </c>
      <c r="F110" s="34">
        <f>IF($B110="",0,VLOOKUP($B110,'Eingabe Einzelspieler'!$A$2:$P$124,F$1,FALSE))</f>
        <v>111</v>
      </c>
      <c r="G110" s="34">
        <f>IF($B110="",0,VLOOKUP($B110,'Eingabe Einzelspieler'!$A$2:$P$124,G$1,FALSE))</f>
        <v>111</v>
      </c>
      <c r="H110" s="34">
        <f>IF($B110="",0,VLOOKUP($B110,'Eingabe Einzelspieler'!$A$2:$P$124,H$1,FALSE))</f>
        <v>106</v>
      </c>
      <c r="I110" s="34">
        <f>IF($B110="",0,VLOOKUP($B110,'Eingabe Einzelspieler'!$A$2:$P$124,I$1,FALSE))</f>
        <v>103</v>
      </c>
      <c r="J110" s="10">
        <f>SUM(D110:I110)</f>
        <v>649</v>
      </c>
      <c r="K110" s="10">
        <f>COUNTIF(D110:I110,"&gt;0")</f>
        <v>6</v>
      </c>
      <c r="L110" s="10">
        <f>IF($B110="",0,VLOOKUP($B110,'Eingabe Einzelspieler'!$A$2:$P$124,L$1,FALSE))</f>
        <v>0</v>
      </c>
      <c r="M110" s="10">
        <f>IF(('Eingabe Einzelspieler'!$I$125-1)&gt;K110,1,"")</f>
      </c>
      <c r="N110" s="10">
        <f>IF('Eingabe Einzelspieler'!$I$125=1,0,IF(K110='Eingabe Einzelspieler'!$I$125,1,0))</f>
        <v>1</v>
      </c>
      <c r="O110" s="10">
        <f>IF(N110=1,LARGE(D110:I110,1),"")</f>
        <v>114</v>
      </c>
      <c r="P110" s="10">
        <f>IF(M110=1,"ADW",IF(N110=1,SUM(J110-O110),J110))</f>
        <v>535</v>
      </c>
      <c r="Q110" s="82">
        <f>IF(J110=0,0,IF(AND(K110=1,N110=1),J110/3,IF(M110=1,"",IF(N110=0,P110/K110/3,P110/(K110-N110)/3))))</f>
        <v>35.666666666666664</v>
      </c>
      <c r="R110" s="83">
        <f t="shared" si="124"/>
        <v>3</v>
      </c>
      <c r="S110" s="83">
        <f>COUNTIF(R$102:R110,R110)</f>
        <v>1</v>
      </c>
      <c r="T110" s="83">
        <f>R110+S110-1</f>
        <v>3</v>
      </c>
      <c r="U110" s="88">
        <f>IF(M110=1,2500+(T110/10000),P110+(T110/10000)+(L110/10))</f>
        <v>535.0003</v>
      </c>
      <c r="V110" s="34">
        <f>A110</f>
        <v>9</v>
      </c>
      <c r="W110" s="88">
        <f t="shared" si="128"/>
        <v>2500.0102</v>
      </c>
      <c r="X110" s="83">
        <f t="shared" si="129"/>
        <v>8</v>
      </c>
      <c r="Y110" s="12">
        <f>A110</f>
        <v>9</v>
      </c>
      <c r="Z110" s="50">
        <f t="shared" si="131"/>
        <v>0</v>
      </c>
      <c r="AA110" s="52" t="str">
        <f t="shared" si="132"/>
        <v>Rüger, Joh</v>
      </c>
      <c r="AB110" s="52" t="str">
        <f t="shared" si="132"/>
        <v>1.MSC Wesel</v>
      </c>
      <c r="AC110" s="12" t="str">
        <f t="shared" si="132"/>
        <v>ADW</v>
      </c>
      <c r="AD110" s="55">
        <f t="shared" si="132"/>
      </c>
      <c r="AE110" s="56">
        <f t="shared" si="132"/>
      </c>
      <c r="AF110" s="12">
        <f t="shared" si="132"/>
        <v>137</v>
      </c>
      <c r="AG110" s="12">
        <f t="shared" si="132"/>
        <v>0</v>
      </c>
      <c r="AH110" s="12">
        <f t="shared" si="132"/>
        <v>0</v>
      </c>
      <c r="AI110" s="12">
        <f t="shared" si="132"/>
        <v>111</v>
      </c>
      <c r="AJ110" s="12">
        <f t="shared" si="132"/>
        <v>0</v>
      </c>
      <c r="AK110" s="12">
        <f t="shared" si="132"/>
        <v>0</v>
      </c>
    </row>
    <row r="111" spans="1:37" ht="12.75" hidden="1">
      <c r="A111" s="52">
        <v>10</v>
      </c>
      <c r="B111" s="14" t="str">
        <f>VLOOKUP($A111,'Eingabe Einzelspieler'!$P$2:$V$124,6,FALSE)</f>
        <v>Tracogna, H</v>
      </c>
      <c r="C111" s="14" t="str">
        <f>VLOOKUP($A111,'Eingabe Einzelspieler'!$P$2:$V$124,7,FALSE)</f>
        <v>MGC Neviges</v>
      </c>
      <c r="D111" s="34">
        <f>IF($B111="",0,VLOOKUP($B111,'Eingabe Einzelspieler'!$A$2:$P$124,D$1,FALSE))</f>
        <v>132</v>
      </c>
      <c r="E111" s="34">
        <f>IF($B111="",0,VLOOKUP($B111,'Eingabe Einzelspieler'!$A$2:$P$124,E$1,FALSE))</f>
        <v>121</v>
      </c>
      <c r="F111" s="34">
        <f>IF($B111="",0,VLOOKUP($B111,'Eingabe Einzelspieler'!$A$2:$P$124,F$1,FALSE))</f>
        <v>0</v>
      </c>
      <c r="G111" s="34">
        <f>IF($B111="",0,VLOOKUP($B111,'Eingabe Einzelspieler'!$A$2:$P$124,G$1,FALSE))</f>
        <v>0</v>
      </c>
      <c r="H111" s="34">
        <f>IF($B111="",0,VLOOKUP($B111,'Eingabe Einzelspieler'!$A$2:$P$124,H$1,FALSE))</f>
        <v>0</v>
      </c>
      <c r="I111" s="34">
        <f>IF($B111="",0,VLOOKUP($B111,'Eingabe Einzelspieler'!$A$2:$P$124,I$1,FALSE))</f>
        <v>0</v>
      </c>
      <c r="J111" s="10">
        <f>SUM(D111:I111)</f>
        <v>253</v>
      </c>
      <c r="K111" s="10">
        <f>COUNTIF(D111:I111,"&gt;0")</f>
        <v>2</v>
      </c>
      <c r="L111" s="10">
        <f>IF($B111="",0,VLOOKUP($B111,'Eingabe Einzelspieler'!$A$2:$P$124,L$1,FALSE))</f>
        <v>0</v>
      </c>
      <c r="M111" s="10">
        <f>IF(('Eingabe Einzelspieler'!$I$125-1)&gt;K111,1,"")</f>
        <v>1</v>
      </c>
      <c r="N111" s="10">
        <f>IF('Eingabe Einzelspieler'!$I$125=1,0,IF(K111='Eingabe Einzelspieler'!$I$125,1,0))</f>
        <v>0</v>
      </c>
      <c r="O111" s="10">
        <f>IF(N111=1,LARGE(D111:I111,1),"")</f>
      </c>
      <c r="P111" s="10" t="str">
        <f>IF(M111=1,"ADW",IF(N111=1,SUM(J111-O111),J111))</f>
        <v>ADW</v>
      </c>
      <c r="Q111" s="82">
        <f>IF(J111=0,0,IF(AND(K111=1,N111=1),J111/3,IF(M111=1,"",IF(N111=0,P111/K111/3,P111/(K111-N111)/3))))</f>
      </c>
      <c r="R111" s="83">
        <f t="shared" si="124"/>
        <v>100</v>
      </c>
      <c r="S111" s="83">
        <f>COUNTIF(R$102:R111,R111)</f>
        <v>4</v>
      </c>
      <c r="T111" s="83">
        <f>R111+S111-1</f>
        <v>103</v>
      </c>
      <c r="U111" s="88">
        <f>IF(M111=1,2500+(T111/10000),P111+(T111/10000)+(L111/10))</f>
        <v>2500.0103</v>
      </c>
      <c r="V111" s="34">
        <f>A111</f>
        <v>10</v>
      </c>
      <c r="W111" s="88">
        <f t="shared" si="128"/>
        <v>2500.0103</v>
      </c>
      <c r="X111" s="83">
        <f t="shared" si="129"/>
        <v>10</v>
      </c>
      <c r="Y111" s="12">
        <f>A111</f>
        <v>10</v>
      </c>
      <c r="Z111" s="50">
        <f t="shared" si="131"/>
        <v>0</v>
      </c>
      <c r="AA111" s="52" t="str">
        <f t="shared" si="132"/>
        <v>Tracogna, H</v>
      </c>
      <c r="AB111" s="52" t="str">
        <f t="shared" si="132"/>
        <v>MGC Neviges</v>
      </c>
      <c r="AC111" s="12" t="str">
        <f t="shared" si="132"/>
        <v>ADW</v>
      </c>
      <c r="AD111" s="55">
        <f t="shared" si="132"/>
      </c>
      <c r="AE111" s="56">
        <f t="shared" si="132"/>
      </c>
      <c r="AF111" s="12">
        <f t="shared" si="132"/>
        <v>132</v>
      </c>
      <c r="AG111" s="12">
        <f t="shared" si="132"/>
        <v>121</v>
      </c>
      <c r="AH111" s="12">
        <f t="shared" si="132"/>
        <v>0</v>
      </c>
      <c r="AI111" s="12">
        <f t="shared" si="132"/>
        <v>0</v>
      </c>
      <c r="AJ111" s="12">
        <f t="shared" si="132"/>
        <v>0</v>
      </c>
      <c r="AK111" s="12">
        <f t="shared" si="132"/>
        <v>0</v>
      </c>
    </row>
    <row r="112" spans="1:37" ht="12.75" hidden="1">
      <c r="A112" s="52">
        <v>11</v>
      </c>
      <c r="B112" s="14" t="str">
        <f>VLOOKUP($A112,'Eingabe Einzelspieler'!$P$2:$V$124,6,FALSE)</f>
        <v>Mosch, H</v>
      </c>
      <c r="C112" s="14" t="str">
        <f>VLOOKUP($A112,'Eingabe Einzelspieler'!$P$2:$V$124,7,FALSE)</f>
        <v>BGC Uerdingen</v>
      </c>
      <c r="D112" s="34">
        <f>IF($B112="",0,VLOOKUP($B112,'Eingabe Einzelspieler'!$A$2:$P$124,D$1,FALSE))</f>
        <v>108</v>
      </c>
      <c r="E112" s="34">
        <f>IF($B112="",0,VLOOKUP($B112,'Eingabe Einzelspieler'!$A$2:$P$124,E$1,FALSE))</f>
        <v>98</v>
      </c>
      <c r="F112" s="34">
        <f>IF($B112="",0,VLOOKUP($B112,'Eingabe Einzelspieler'!$A$2:$P$124,F$1,FALSE))</f>
        <v>95</v>
      </c>
      <c r="G112" s="34">
        <f>IF($B112="",0,VLOOKUP($B112,'Eingabe Einzelspieler'!$A$2:$P$124,G$1,FALSE))</f>
        <v>0</v>
      </c>
      <c r="H112" s="34">
        <f>IF($B112="",0,VLOOKUP($B112,'Eingabe Einzelspieler'!$A$2:$P$124,H$1,FALSE))</f>
        <v>0</v>
      </c>
      <c r="I112" s="34">
        <f>IF($B112="",0,VLOOKUP($B112,'Eingabe Einzelspieler'!$A$2:$P$124,I$1,FALSE))</f>
        <v>0</v>
      </c>
      <c r="J112" s="10">
        <f t="shared" si="119"/>
        <v>301</v>
      </c>
      <c r="K112" s="10">
        <f t="shared" si="120"/>
        <v>3</v>
      </c>
      <c r="L112" s="10">
        <f>IF($B112="",0,VLOOKUP($B112,'Eingabe Einzelspieler'!$A$2:$P$124,L$1,FALSE))</f>
        <v>0</v>
      </c>
      <c r="M112" s="10">
        <f>IF(('Eingabe Einzelspieler'!$I$125-1)&gt;K112,1,"")</f>
        <v>1</v>
      </c>
      <c r="N112" s="10">
        <f>IF('Eingabe Einzelspieler'!$I$125=1,0,IF(K112='Eingabe Einzelspieler'!$I$125,1,0))</f>
        <v>0</v>
      </c>
      <c r="O112" s="10">
        <f t="shared" si="121"/>
      </c>
      <c r="P112" s="10" t="str">
        <f t="shared" si="122"/>
        <v>ADW</v>
      </c>
      <c r="Q112" s="82">
        <f t="shared" si="123"/>
      </c>
      <c r="R112" s="83">
        <f t="shared" si="124"/>
        <v>100</v>
      </c>
      <c r="S112" s="83">
        <f>COUNTIF(R$102:R112,R112)</f>
        <v>5</v>
      </c>
      <c r="T112" s="83">
        <f t="shared" si="125"/>
        <v>104</v>
      </c>
      <c r="U112" s="88">
        <f t="shared" si="126"/>
        <v>2500.0104</v>
      </c>
      <c r="V112" s="34">
        <f t="shared" si="127"/>
        <v>11</v>
      </c>
      <c r="W112" s="88">
        <f t="shared" si="128"/>
        <v>2500.0104</v>
      </c>
      <c r="X112" s="83">
        <f t="shared" si="129"/>
        <v>11</v>
      </c>
      <c r="Y112" s="12">
        <f t="shared" si="130"/>
        <v>11</v>
      </c>
      <c r="Z112" s="50">
        <f t="shared" si="131"/>
        <v>0</v>
      </c>
      <c r="AA112" s="52" t="str">
        <f t="shared" si="132"/>
        <v>Mosch, H</v>
      </c>
      <c r="AB112" s="52" t="str">
        <f t="shared" si="132"/>
        <v>BGC Uerdingen</v>
      </c>
      <c r="AC112" s="12" t="str">
        <f t="shared" si="132"/>
        <v>ADW</v>
      </c>
      <c r="AD112" s="55">
        <f t="shared" si="132"/>
      </c>
      <c r="AE112" s="56">
        <f t="shared" si="132"/>
      </c>
      <c r="AF112" s="12">
        <f t="shared" si="132"/>
        <v>108</v>
      </c>
      <c r="AG112" s="12">
        <f t="shared" si="132"/>
        <v>98</v>
      </c>
      <c r="AH112" s="12">
        <f t="shared" si="132"/>
        <v>95</v>
      </c>
      <c r="AI112" s="12">
        <f t="shared" si="132"/>
        <v>0</v>
      </c>
      <c r="AJ112" s="12">
        <f t="shared" si="132"/>
        <v>0</v>
      </c>
      <c r="AK112" s="12">
        <f t="shared" si="132"/>
        <v>0</v>
      </c>
    </row>
    <row r="113" ht="12.75">
      <c r="W113" s="89"/>
    </row>
    <row r="114" spans="2:26" ht="12.75">
      <c r="B114" s="87" t="s">
        <v>47</v>
      </c>
      <c r="W114" s="89"/>
      <c r="Y114" s="64" t="str">
        <f>B114</f>
        <v>Jugend männlich</v>
      </c>
      <c r="Z114" s="79"/>
    </row>
    <row r="115" spans="1:37" ht="12.75">
      <c r="A115" s="52">
        <v>1</v>
      </c>
      <c r="B115" s="14" t="str">
        <f>VLOOKUP($A115,'Eingabe Einzelspieler'!$Q$2:$V$124,5,FALSE)</f>
        <v>Behrens, S</v>
      </c>
      <c r="C115" s="14" t="str">
        <f>VLOOKUP($A115,'Eingabe Einzelspieler'!$Q$2:$V$124,6,FALSE)</f>
        <v>MGC "AS" Witten</v>
      </c>
      <c r="D115" s="34">
        <f>IF($B115="",0,VLOOKUP($B115,'Eingabe Einzelspieler'!$A$2:$P$124,D$1,FALSE))</f>
        <v>0</v>
      </c>
      <c r="E115" s="34">
        <f>IF($B115="",0,VLOOKUP($B115,'Eingabe Einzelspieler'!$A$2:$P$124,E$1,FALSE))</f>
        <v>91</v>
      </c>
      <c r="F115" s="34">
        <f>IF($B115="",0,VLOOKUP($B115,'Eingabe Einzelspieler'!$A$2:$P$124,F$1,FALSE))</f>
        <v>84</v>
      </c>
      <c r="G115" s="34">
        <f>IF($B115="",0,VLOOKUP($B115,'Eingabe Einzelspieler'!$A$2:$P$124,G$1,FALSE))</f>
        <v>96</v>
      </c>
      <c r="H115" s="34">
        <f>IF($B115="",0,VLOOKUP($B115,'Eingabe Einzelspieler'!$A$2:$P$124,H$1,FALSE))</f>
        <v>83</v>
      </c>
      <c r="I115" s="34">
        <f>IF($B115="",0,VLOOKUP($B115,'Eingabe Einzelspieler'!$A$2:$P$124,I$1,FALSE))</f>
        <v>84</v>
      </c>
      <c r="J115" s="10">
        <f>SUM(D115:I115)</f>
        <v>438</v>
      </c>
      <c r="K115" s="10">
        <f>COUNTIF(D115:I115,"&gt;0")</f>
        <v>5</v>
      </c>
      <c r="L115" s="10">
        <f>IF($B115="",0,VLOOKUP($B115,'Eingabe Einzelspieler'!$A$2:$P$124,L$1,FALSE))</f>
        <v>0</v>
      </c>
      <c r="M115" s="10">
        <f>IF(('Eingabe Einzelspieler'!$I$125-1)&gt;K115,1,"")</f>
      </c>
      <c r="N115" s="10">
        <f>IF('Eingabe Einzelspieler'!$I$125=1,0,IF(K115='Eingabe Einzelspieler'!$I$125,1,0))</f>
        <v>0</v>
      </c>
      <c r="O115" s="10">
        <f>IF(N115=1,LARGE(D115:I115,1),"")</f>
      </c>
      <c r="P115" s="10">
        <f>IF(M115=1,"ADW",IF(N115=1,SUM(J115-O115),J115))</f>
        <v>438</v>
      </c>
      <c r="Q115" s="82">
        <f>IF(J115=0,0,IF(AND(K115=1,N115=1),J115/3,IF(M115=1,"",IF(N115=0,P115/K115/3,P115/(K115-N115)/3))))</f>
        <v>29.2</v>
      </c>
      <c r="R115" s="83">
        <f>IF(M115=1,100,RANK(P115,$P$115:$P$118,1))</f>
        <v>1</v>
      </c>
      <c r="S115" s="83">
        <f>COUNTIF(R$115:R115,R115)</f>
        <v>1</v>
      </c>
      <c r="T115" s="83">
        <f>R115+S115-1</f>
        <v>1</v>
      </c>
      <c r="U115" s="88">
        <f>IF(M115=1,2500+(T115/10000),P115+(T115/10000)+(L115/10))</f>
        <v>438.0001</v>
      </c>
      <c r="V115" s="34">
        <f>A115</f>
        <v>1</v>
      </c>
      <c r="W115" s="88">
        <f>SMALL(U$115:U$118,A115)</f>
        <v>438.0001</v>
      </c>
      <c r="X115" s="83">
        <f>VLOOKUP(W115,U$115:V$118,$X$1,FALSE)</f>
        <v>1</v>
      </c>
      <c r="Y115" s="12">
        <f>A115</f>
        <v>1</v>
      </c>
      <c r="Z115" s="50">
        <f>IF(VLOOKUP($X115,$A$115:$X$118,Z$1,FALSE)&gt;0,"x",0)</f>
        <v>0</v>
      </c>
      <c r="AA115" s="101" t="str">
        <f aca="true" t="shared" si="133" ref="AA115:AJ118">VLOOKUP($X115,$A$115:$X$118,AA$1,FALSE)</f>
        <v>Behrens, S</v>
      </c>
      <c r="AB115" s="101" t="str">
        <f t="shared" si="133"/>
        <v>MGC "AS" Witten</v>
      </c>
      <c r="AC115" s="102">
        <f t="shared" si="133"/>
        <v>438</v>
      </c>
      <c r="AD115" s="55">
        <f t="shared" si="133"/>
      </c>
      <c r="AE115" s="56">
        <f t="shared" si="133"/>
        <v>29.2</v>
      </c>
      <c r="AF115" s="12">
        <f t="shared" si="133"/>
        <v>0</v>
      </c>
      <c r="AG115" s="12">
        <f t="shared" si="133"/>
        <v>91</v>
      </c>
      <c r="AH115" s="12">
        <f t="shared" si="133"/>
        <v>84</v>
      </c>
      <c r="AI115" s="12">
        <f t="shared" si="133"/>
        <v>96</v>
      </c>
      <c r="AJ115" s="12">
        <f t="shared" si="133"/>
        <v>83</v>
      </c>
      <c r="AK115" s="12">
        <f>VLOOKUP($X115,$A$68:$X$80,AK$1,FALSE)</f>
        <v>114</v>
      </c>
    </row>
    <row r="116" spans="1:37" ht="12.75">
      <c r="A116" s="52">
        <v>2</v>
      </c>
      <c r="B116" s="14" t="str">
        <f>VLOOKUP($A116,'Eingabe Einzelspieler'!$Q$2:$V$124,5,FALSE)</f>
        <v>Dötterl, D</v>
      </c>
      <c r="C116" s="14" t="str">
        <f>VLOOKUP($A116,'Eingabe Einzelspieler'!$Q$2:$V$124,6,FALSE)</f>
        <v>1.MSC Wesel</v>
      </c>
      <c r="D116" s="34">
        <f>IF($B116="",0,VLOOKUP($B116,'Eingabe Einzelspieler'!$A$2:$P$124,D$1,FALSE))</f>
        <v>0</v>
      </c>
      <c r="E116" s="34">
        <f>IF($B116="",0,VLOOKUP($B116,'Eingabe Einzelspieler'!$A$2:$P$124,E$1,FALSE))</f>
        <v>95</v>
      </c>
      <c r="F116" s="34">
        <f>IF($B116="",0,VLOOKUP($B116,'Eingabe Einzelspieler'!$A$2:$P$124,F$1,FALSE))</f>
        <v>0</v>
      </c>
      <c r="G116" s="34">
        <f>IF($B116="",0,VLOOKUP($B116,'Eingabe Einzelspieler'!$A$2:$P$124,G$1,FALSE))</f>
        <v>100</v>
      </c>
      <c r="H116" s="34">
        <f>IF($B116="",0,VLOOKUP($B116,'Eingabe Einzelspieler'!$A$2:$P$124,H$1,FALSE))</f>
        <v>0</v>
      </c>
      <c r="I116" s="34">
        <f>IF($B116="",0,VLOOKUP($B116,'Eingabe Einzelspieler'!$A$2:$P$124,I$1,FALSE))</f>
        <v>0</v>
      </c>
      <c r="J116" s="10">
        <f>SUM(D116:I116)</f>
        <v>195</v>
      </c>
      <c r="K116" s="10">
        <f>COUNTIF(D116:I116,"&gt;0")</f>
        <v>2</v>
      </c>
      <c r="L116" s="10">
        <f>IF($B116="",0,VLOOKUP($B116,'Eingabe Einzelspieler'!$A$2:$P$124,L$1,FALSE))</f>
        <v>0</v>
      </c>
      <c r="M116" s="10">
        <f>IF(('Eingabe Einzelspieler'!$I$125-1)&gt;K116,1,"")</f>
        <v>1</v>
      </c>
      <c r="N116" s="10">
        <f>IF('Eingabe Einzelspieler'!$I$125=1,0,IF(K116='Eingabe Einzelspieler'!$I$125,1,0))</f>
        <v>0</v>
      </c>
      <c r="O116" s="10">
        <f>IF(N116=1,LARGE(D116:I116,1),"")</f>
      </c>
      <c r="P116" s="10" t="str">
        <f>IF(M116=1,"ADW",IF(N116=1,SUM(J116-O116),J116))</f>
        <v>ADW</v>
      </c>
      <c r="Q116" s="82">
        <f>IF(J116=0,0,IF(AND(K116=1,N116=1),J116/3,IF(M116=1,"",IF(N116=0,P116/K116/3,P116/(K116-N116)/3))))</f>
      </c>
      <c r="R116" s="83">
        <f>IF(M116=1,100,RANK(P116,$P$115:$P$118,1))</f>
        <v>100</v>
      </c>
      <c r="S116" s="83">
        <f>COUNTIF(R$115:R116,R116)</f>
        <v>1</v>
      </c>
      <c r="T116" s="83">
        <f>R116+S116-1</f>
        <v>100</v>
      </c>
      <c r="U116" s="88">
        <f>IF(M116=1,2500+(T116/10000),P116+(T116/10000)+(L116/10))</f>
        <v>2500.01</v>
      </c>
      <c r="V116" s="34">
        <f>A116</f>
        <v>2</v>
      </c>
      <c r="W116" s="88">
        <f>SMALL(U$115:U$118,A116)</f>
        <v>457.0002</v>
      </c>
      <c r="X116" s="83">
        <f>VLOOKUP(W116,U$115:V$118,$X$1,FALSE)</f>
        <v>3</v>
      </c>
      <c r="Y116" s="12">
        <f>A116</f>
        <v>2</v>
      </c>
      <c r="Z116" s="50">
        <f>IF(VLOOKUP($X116,$A$115:$X$118,Z$1,FALSE)&gt;0,"x",0)</f>
        <v>0</v>
      </c>
      <c r="AA116" s="52" t="str">
        <f t="shared" si="133"/>
        <v>Wolf, C</v>
      </c>
      <c r="AB116" s="52" t="str">
        <f t="shared" si="133"/>
        <v>1.MSC Wesel</v>
      </c>
      <c r="AC116" s="12">
        <f t="shared" si="133"/>
        <v>457</v>
      </c>
      <c r="AD116" s="55">
        <f t="shared" si="133"/>
        <v>100</v>
      </c>
      <c r="AE116" s="56">
        <f t="shared" si="133"/>
        <v>30.46666666666667</v>
      </c>
      <c r="AF116" s="12">
        <f t="shared" si="133"/>
        <v>93</v>
      </c>
      <c r="AG116" s="12">
        <f t="shared" si="133"/>
        <v>97</v>
      </c>
      <c r="AH116" s="12">
        <f t="shared" si="133"/>
        <v>91</v>
      </c>
      <c r="AI116" s="12">
        <f t="shared" si="133"/>
        <v>86</v>
      </c>
      <c r="AJ116" s="12">
        <f t="shared" si="133"/>
        <v>90</v>
      </c>
      <c r="AK116" s="12">
        <f>VLOOKUP($X116,$A$68:$X$80,AK$1,FALSE)</f>
        <v>107</v>
      </c>
    </row>
    <row r="117" spans="1:37" ht="12.75">
      <c r="A117" s="52">
        <v>3</v>
      </c>
      <c r="B117" s="14" t="str">
        <f>VLOOKUP($A117,'Eingabe Einzelspieler'!$Q$2:$V$124,5,FALSE)</f>
        <v>Wolf, C</v>
      </c>
      <c r="C117" s="14" t="str">
        <f>VLOOKUP($A117,'Eingabe Einzelspieler'!$Q$2:$V$124,6,FALSE)</f>
        <v>1.MSC Wesel</v>
      </c>
      <c r="D117" s="34">
        <f>IF($B117="",0,VLOOKUP($B117,'Eingabe Einzelspieler'!$A$2:$P$124,D$1,FALSE))</f>
        <v>93</v>
      </c>
      <c r="E117" s="34">
        <f>IF($B117="",0,VLOOKUP($B117,'Eingabe Einzelspieler'!$A$2:$P$124,E$1,FALSE))</f>
        <v>97</v>
      </c>
      <c r="F117" s="34">
        <f>IF($B117="",0,VLOOKUP($B117,'Eingabe Einzelspieler'!$A$2:$P$124,F$1,FALSE))</f>
        <v>91</v>
      </c>
      <c r="G117" s="34">
        <f>IF($B117="",0,VLOOKUP($B117,'Eingabe Einzelspieler'!$A$2:$P$124,G$1,FALSE))</f>
        <v>86</v>
      </c>
      <c r="H117" s="34">
        <f>IF($B117="",0,VLOOKUP($B117,'Eingabe Einzelspieler'!$A$2:$P$124,H$1,FALSE))</f>
        <v>90</v>
      </c>
      <c r="I117" s="34">
        <f>IF($B117="",0,VLOOKUP($B117,'Eingabe Einzelspieler'!$A$2:$P$124,I$1,FALSE))</f>
        <v>100</v>
      </c>
      <c r="J117" s="10">
        <f>SUM(D117:I117)</f>
        <v>557</v>
      </c>
      <c r="K117" s="10">
        <f>COUNTIF(D117:I117,"&gt;0")</f>
        <v>6</v>
      </c>
      <c r="L117" s="10">
        <f>IF($B117="",0,VLOOKUP($B117,'Eingabe Einzelspieler'!$A$2:$P$124,L$1,FALSE))</f>
        <v>0</v>
      </c>
      <c r="M117" s="10">
        <f>IF(('Eingabe Einzelspieler'!$I$125-1)&gt;K117,1,"")</f>
      </c>
      <c r="N117" s="10">
        <f>IF('Eingabe Einzelspieler'!$I$125=1,0,IF(K117='Eingabe Einzelspieler'!$I$125,1,0))</f>
        <v>1</v>
      </c>
      <c r="O117" s="10">
        <f>IF(N117=1,LARGE(D117:I117,1),"")</f>
        <v>100</v>
      </c>
      <c r="P117" s="10">
        <f>IF(M117=1,"ADW",IF(N117=1,SUM(J117-O117),J117))</f>
        <v>457</v>
      </c>
      <c r="Q117" s="82">
        <f>IF(J117=0,0,IF(AND(K117=1,N117=1),J117/3,IF(M117=1,"",IF(N117=0,P117/K117/3,P117/(K117-N117)/3))))</f>
        <v>30.46666666666667</v>
      </c>
      <c r="R117" s="83">
        <f>IF(M117=1,100,RANK(P117,$P$115:$P$118,1))</f>
        <v>2</v>
      </c>
      <c r="S117" s="83">
        <f>COUNTIF(R$115:R117,R117)</f>
        <v>1</v>
      </c>
      <c r="T117" s="83">
        <f>R117+S117-1</f>
        <v>2</v>
      </c>
      <c r="U117" s="88">
        <f>IF(M117=1,2500+(T117/10000),P117+(T117/10000)+(L117/10))</f>
        <v>457.0002</v>
      </c>
      <c r="V117" s="34">
        <f>A117</f>
        <v>3</v>
      </c>
      <c r="W117" s="88">
        <f>SMALL(U$115:U$118,A117)</f>
        <v>475.0003</v>
      </c>
      <c r="X117" s="83">
        <f>VLOOKUP(W117,U$115:V$118,$X$1,FALSE)</f>
        <v>4</v>
      </c>
      <c r="Y117" s="12">
        <f>A117</f>
        <v>3</v>
      </c>
      <c r="Z117" s="50">
        <f>IF(VLOOKUP($X117,$A$115:$X$118,Z$1,FALSE)&gt;0,"x",0)</f>
        <v>0</v>
      </c>
      <c r="AA117" s="52" t="str">
        <f t="shared" si="133"/>
        <v>Jörissen, T</v>
      </c>
      <c r="AB117" s="52" t="str">
        <f t="shared" si="133"/>
        <v>BGC Uerdingen</v>
      </c>
      <c r="AC117" s="12">
        <f t="shared" si="133"/>
        <v>475</v>
      </c>
      <c r="AD117" s="55">
        <f t="shared" si="133"/>
        <v>107</v>
      </c>
      <c r="AE117" s="56">
        <f t="shared" si="133"/>
        <v>31.666666666666668</v>
      </c>
      <c r="AF117" s="12">
        <f t="shared" si="133"/>
        <v>107</v>
      </c>
      <c r="AG117" s="12">
        <f t="shared" si="133"/>
        <v>96</v>
      </c>
      <c r="AH117" s="12">
        <f t="shared" si="133"/>
        <v>91</v>
      </c>
      <c r="AI117" s="12">
        <f t="shared" si="133"/>
        <v>94</v>
      </c>
      <c r="AJ117" s="12">
        <f t="shared" si="133"/>
        <v>102</v>
      </c>
      <c r="AK117" s="12">
        <f>VLOOKUP($X117,$A$68:$X$80,AK$1,FALSE)</f>
        <v>98</v>
      </c>
    </row>
    <row r="118" spans="1:37" ht="12.75" hidden="1">
      <c r="A118" s="52">
        <v>4</v>
      </c>
      <c r="B118" s="14" t="str">
        <f>VLOOKUP($A118,'Eingabe Einzelspieler'!$Q$2:$V$124,5,FALSE)</f>
        <v>Jörissen, T</v>
      </c>
      <c r="C118" s="14" t="str">
        <f>VLOOKUP($A118,'Eingabe Einzelspieler'!$Q$2:$V$124,6,FALSE)</f>
        <v>BGC Uerdingen</v>
      </c>
      <c r="D118" s="34">
        <f>IF($B118="",0,VLOOKUP($B118,'Eingabe Einzelspieler'!$A$2:$P$124,D$1,FALSE))</f>
        <v>107</v>
      </c>
      <c r="E118" s="34">
        <f>IF($B118="",0,VLOOKUP($B118,'Eingabe Einzelspieler'!$A$2:$P$124,E$1,FALSE))</f>
        <v>96</v>
      </c>
      <c r="F118" s="34">
        <f>IF($B118="",0,VLOOKUP($B118,'Eingabe Einzelspieler'!$A$2:$P$124,F$1,FALSE))</f>
        <v>91</v>
      </c>
      <c r="G118" s="34">
        <f>IF($B118="",0,VLOOKUP($B118,'Eingabe Einzelspieler'!$A$2:$P$124,G$1,FALSE))</f>
        <v>94</v>
      </c>
      <c r="H118" s="34">
        <f>IF($B118="",0,VLOOKUP($B118,'Eingabe Einzelspieler'!$A$2:$P$124,H$1,FALSE))</f>
        <v>102</v>
      </c>
      <c r="I118" s="34">
        <f>IF($B118="",0,VLOOKUP($B118,'Eingabe Einzelspieler'!$A$2:$P$124,I$1,FALSE))</f>
        <v>92</v>
      </c>
      <c r="J118" s="10">
        <f>SUM(D118:I118)</f>
        <v>582</v>
      </c>
      <c r="K118" s="10">
        <f>COUNTIF(D118:I118,"&gt;0")</f>
        <v>6</v>
      </c>
      <c r="L118" s="10">
        <f>IF($B118="",0,VLOOKUP($B118,'Eingabe Einzelspieler'!$A$2:$P$124,L$1,FALSE))</f>
        <v>0</v>
      </c>
      <c r="M118" s="10">
        <f>IF(('Eingabe Einzelspieler'!$I$125-1)&gt;K118,1,"")</f>
      </c>
      <c r="N118" s="10">
        <f>IF('Eingabe Einzelspieler'!$I$125=1,0,IF(K118='Eingabe Einzelspieler'!$I$125,1,0))</f>
        <v>1</v>
      </c>
      <c r="O118" s="10">
        <f>IF(N118=1,LARGE(D118:I118,1),"")</f>
        <v>107</v>
      </c>
      <c r="P118" s="10">
        <f>IF(M118=1,"ADW",IF(N118=1,SUM(J118-O118),J118))</f>
        <v>475</v>
      </c>
      <c r="Q118" s="82">
        <f>IF(J118=0,0,IF(AND(K118=1,N118=1),J118/3,IF(M118=1,"",IF(N118=0,P118/K118/3,P118/(K118-N118)/3))))</f>
        <v>31.666666666666668</v>
      </c>
      <c r="R118" s="83">
        <f>IF(M118=1,100,RANK(P118,$P$115:$P$118,1))</f>
        <v>3</v>
      </c>
      <c r="S118" s="83">
        <f>COUNTIF(R$115:R118,R118)</f>
        <v>1</v>
      </c>
      <c r="T118" s="83">
        <f>R118+S118-1</f>
        <v>3</v>
      </c>
      <c r="U118" s="88">
        <f>IF(M118=1,2500+(T118/10000),P118+(T118/10000)+(L118/10))</f>
        <v>475.0003</v>
      </c>
      <c r="V118" s="34">
        <f>A118</f>
        <v>4</v>
      </c>
      <c r="W118" s="88">
        <f>SMALL(U$115:U$118,A118)</f>
        <v>2500.01</v>
      </c>
      <c r="X118" s="83">
        <f>VLOOKUP(W118,U$115:V$118,$X$1,FALSE)</f>
        <v>2</v>
      </c>
      <c r="Y118" s="12">
        <f>A118</f>
        <v>4</v>
      </c>
      <c r="Z118" s="50">
        <f>IF(VLOOKUP($X118,$A$115:$X$118,Z$1,FALSE)&gt;0,"x",0)</f>
        <v>0</v>
      </c>
      <c r="AA118" s="52" t="str">
        <f t="shared" si="133"/>
        <v>Dötterl, D</v>
      </c>
      <c r="AB118" s="52" t="str">
        <f t="shared" si="133"/>
        <v>1.MSC Wesel</v>
      </c>
      <c r="AC118" s="12" t="str">
        <f t="shared" si="133"/>
        <v>ADW</v>
      </c>
      <c r="AD118" s="55">
        <f t="shared" si="133"/>
      </c>
      <c r="AE118" s="56">
        <f t="shared" si="133"/>
      </c>
      <c r="AF118" s="12">
        <f t="shared" si="133"/>
        <v>0</v>
      </c>
      <c r="AG118" s="12">
        <f t="shared" si="133"/>
        <v>95</v>
      </c>
      <c r="AH118" s="12">
        <f t="shared" si="133"/>
        <v>0</v>
      </c>
      <c r="AI118" s="12">
        <f t="shared" si="133"/>
        <v>100</v>
      </c>
      <c r="AJ118" s="12">
        <f t="shared" si="133"/>
        <v>0</v>
      </c>
      <c r="AK118" s="12">
        <f>VLOOKUP($X118,$A$68:$X$80,AK$1,FALSE)</f>
        <v>90</v>
      </c>
    </row>
    <row r="119" ht="12.75" hidden="1">
      <c r="W119" s="89"/>
    </row>
    <row r="120" spans="2:26" ht="12.75" hidden="1">
      <c r="B120" s="96" t="s">
        <v>44</v>
      </c>
      <c r="W120" s="89"/>
      <c r="Y120" s="64" t="str">
        <f>B120</f>
        <v>Jugend weiblich</v>
      </c>
      <c r="Z120" s="79"/>
    </row>
    <row r="121" spans="1:37" s="49" customFormat="1" ht="12.75" hidden="1">
      <c r="A121" s="49">
        <v>1</v>
      </c>
      <c r="B121" s="49" t="e">
        <f>VLOOKUP($A121,'Eingabe Einzelspieler'!$R$2:$V$124,4,FALSE)</f>
        <v>#N/A</v>
      </c>
      <c r="C121" s="49" t="e">
        <f>VLOOKUP($A121,'Eingabe Einzelspieler'!$R$2:$V$124,5,FALSE)</f>
        <v>#N/A</v>
      </c>
      <c r="D121" s="50" t="e">
        <f>IF($B121="",0,VLOOKUP($B121,'Eingabe Einzelspieler'!$A$2:$P$124,D$1,FALSE))</f>
        <v>#N/A</v>
      </c>
      <c r="E121" s="50" t="e">
        <f>IF($B121="",0,VLOOKUP($B121,'Eingabe Einzelspieler'!$A$2:$P$124,E$1,FALSE))</f>
        <v>#N/A</v>
      </c>
      <c r="F121" s="50" t="e">
        <f>IF($B121="",0,VLOOKUP($B121,'Eingabe Einzelspieler'!$A$2:$P$124,F$1,FALSE))</f>
        <v>#N/A</v>
      </c>
      <c r="G121" s="50" t="e">
        <f>IF($B121="",0,VLOOKUP($B121,'Eingabe Einzelspieler'!$A$2:$P$124,G$1,FALSE))</f>
        <v>#N/A</v>
      </c>
      <c r="H121" s="50" t="e">
        <f>IF($B121="",0,VLOOKUP($B121,'Eingabe Einzelspieler'!$A$2:$P$124,H$1,FALSE))</f>
        <v>#N/A</v>
      </c>
      <c r="I121" s="50" t="e">
        <f>IF($B121="",0,VLOOKUP($B121,'Eingabe Einzelspieler'!$A$2:$P$124,I$1,FALSE))</f>
        <v>#N/A</v>
      </c>
      <c r="J121" s="50" t="e">
        <f>SUM(D121:I121)</f>
        <v>#N/A</v>
      </c>
      <c r="K121" s="50">
        <f>COUNTIF(D121:I121,"&gt;0")</f>
        <v>0</v>
      </c>
      <c r="L121" s="50" t="e">
        <f>IF($B121="",0,VLOOKUP($B121,'Eingabe Einzelspieler'!$A$2:$P$124,L$1,FALSE))</f>
        <v>#N/A</v>
      </c>
      <c r="M121" s="50">
        <f>IF(('Eingabe Einzelspieler'!$I$125-1)&gt;K121,1,"")</f>
        <v>1</v>
      </c>
      <c r="N121" s="50">
        <f>IF('Eingabe Einzelspieler'!$I$125=1,0,IF(K121='Eingabe Einzelspieler'!$I$125,1,0))</f>
        <v>0</v>
      </c>
      <c r="O121" s="50">
        <f>IF(N121=1,LARGE(D121:I121,1),"")</f>
      </c>
      <c r="P121" s="50" t="str">
        <f>IF(M121=1,"ADW",IF(N121=1,SUM(J121-O121),J121))</f>
        <v>ADW</v>
      </c>
      <c r="Q121" s="97" t="e">
        <f>IF(J121=0,0,IF(AND(K121=1,N121=1),J121/3,IF(M121=1,"",IF(N121=0,P121/K121/3,P121/(K121-N121)/3))))</f>
        <v>#N/A</v>
      </c>
      <c r="R121" s="98">
        <f>IF(M121=1,100,RANK(P121,$P$121:$P$123,1))</f>
        <v>100</v>
      </c>
      <c r="S121" s="98">
        <f>COUNTIF(R$121:R121,R121)</f>
        <v>1</v>
      </c>
      <c r="T121" s="98">
        <f>R121+S121-1</f>
        <v>100</v>
      </c>
      <c r="U121" s="99">
        <f>IF(M121=1,2500+(T121/10000),P121+(T121/10000)+(L121/10))</f>
        <v>2500.01</v>
      </c>
      <c r="V121" s="50">
        <f>A121</f>
        <v>1</v>
      </c>
      <c r="W121" s="99">
        <f>SMALL(U$121:U$123,A121)</f>
        <v>2500.01</v>
      </c>
      <c r="X121" s="98">
        <f>VLOOKUP(W121,U$121:V$123,$X$1,FALSE)</f>
        <v>1</v>
      </c>
      <c r="Y121" s="12">
        <f>A121</f>
        <v>1</v>
      </c>
      <c r="Z121" s="50" t="e">
        <f>IF(VLOOKUP($X121,$A$121:$X$123,Z$1,FALSE)&gt;0,"x",0)</f>
        <v>#N/A</v>
      </c>
      <c r="AA121" s="52" t="e">
        <f aca="true" t="shared" si="134" ref="AA121:AK123">VLOOKUP($X121,$A$121:$X$123,AA$1,FALSE)</f>
        <v>#N/A</v>
      </c>
      <c r="AB121" s="52" t="e">
        <f t="shared" si="134"/>
        <v>#N/A</v>
      </c>
      <c r="AC121" s="12" t="str">
        <f t="shared" si="134"/>
        <v>ADW</v>
      </c>
      <c r="AD121" s="55">
        <f t="shared" si="134"/>
      </c>
      <c r="AE121" s="56" t="e">
        <f t="shared" si="134"/>
        <v>#N/A</v>
      </c>
      <c r="AF121" s="12" t="e">
        <f t="shared" si="134"/>
        <v>#N/A</v>
      </c>
      <c r="AG121" s="12" t="e">
        <f t="shared" si="134"/>
        <v>#N/A</v>
      </c>
      <c r="AH121" s="12" t="e">
        <f t="shared" si="134"/>
        <v>#N/A</v>
      </c>
      <c r="AI121" s="12" t="e">
        <f t="shared" si="134"/>
        <v>#N/A</v>
      </c>
      <c r="AJ121" s="12" t="e">
        <f t="shared" si="134"/>
        <v>#N/A</v>
      </c>
      <c r="AK121" s="12" t="e">
        <f t="shared" si="134"/>
        <v>#N/A</v>
      </c>
    </row>
    <row r="122" spans="1:37" s="49" customFormat="1" ht="12.75" hidden="1">
      <c r="A122" s="49">
        <v>2</v>
      </c>
      <c r="B122" s="49" t="e">
        <f>VLOOKUP($A122,'Eingabe Einzelspieler'!$R$2:$V$124,4,FALSE)</f>
        <v>#N/A</v>
      </c>
      <c r="C122" s="49" t="e">
        <f>VLOOKUP($A122,'Eingabe Einzelspieler'!$R$2:$V$124,5,FALSE)</f>
        <v>#N/A</v>
      </c>
      <c r="D122" s="50" t="e">
        <f>IF($B122="",0,VLOOKUP($B122,'Eingabe Einzelspieler'!$A$2:$P$124,D$1,FALSE))</f>
        <v>#N/A</v>
      </c>
      <c r="E122" s="50" t="e">
        <f>IF($B122="",0,VLOOKUP($B122,'Eingabe Einzelspieler'!$A$2:$P$124,E$1,FALSE))</f>
        <v>#N/A</v>
      </c>
      <c r="F122" s="50" t="e">
        <f>IF($B122="",0,VLOOKUP($B122,'Eingabe Einzelspieler'!$A$2:$P$124,F$1,FALSE))</f>
        <v>#N/A</v>
      </c>
      <c r="G122" s="50" t="e">
        <f>IF($B122="",0,VLOOKUP($B122,'Eingabe Einzelspieler'!$A$2:$P$124,G$1,FALSE))</f>
        <v>#N/A</v>
      </c>
      <c r="H122" s="50" t="e">
        <f>IF($B122="",0,VLOOKUP($B122,'Eingabe Einzelspieler'!$A$2:$P$124,H$1,FALSE))</f>
        <v>#N/A</v>
      </c>
      <c r="I122" s="50" t="e">
        <f>IF($B122="",0,VLOOKUP($B122,'Eingabe Einzelspieler'!$A$2:$P$124,I$1,FALSE))</f>
        <v>#N/A</v>
      </c>
      <c r="J122" s="50" t="e">
        <f>SUM(D122:I122)</f>
        <v>#N/A</v>
      </c>
      <c r="K122" s="50">
        <f>COUNTIF(D122:I122,"&gt;0")</f>
        <v>0</v>
      </c>
      <c r="L122" s="50" t="e">
        <f>IF($B122="",0,VLOOKUP($B122,'Eingabe Einzelspieler'!$A$2:$P$124,L$1,FALSE))</f>
        <v>#N/A</v>
      </c>
      <c r="M122" s="50">
        <f>IF(('Eingabe Einzelspieler'!$I$125-1)&gt;K122,1,"")</f>
        <v>1</v>
      </c>
      <c r="N122" s="50">
        <f>IF('Eingabe Einzelspieler'!$I$125=1,0,IF(K122='Eingabe Einzelspieler'!$I$125,1,0))</f>
        <v>0</v>
      </c>
      <c r="O122" s="50">
        <f>IF(N122=1,LARGE(D122:I122,1),"")</f>
      </c>
      <c r="P122" s="50" t="str">
        <f>IF(M122=1,"ADW",IF(N122=1,SUM(J122-O122),J122))</f>
        <v>ADW</v>
      </c>
      <c r="Q122" s="97" t="e">
        <f>IF(J122=0,0,IF(AND(K122=1,N122=1),J122/3,IF(M122=1,"",IF(N122=0,P122/K122/3,P122/(K122-N122)/3))))</f>
        <v>#N/A</v>
      </c>
      <c r="R122" s="98">
        <f>IF(M122=1,100,RANK(P122,$P$121:$P$123,1))</f>
        <v>100</v>
      </c>
      <c r="S122" s="98">
        <f>COUNTIF(R$121:R122,R122)</f>
        <v>2</v>
      </c>
      <c r="T122" s="98">
        <f>R122+S122-1</f>
        <v>101</v>
      </c>
      <c r="U122" s="99">
        <f>IF(M122=1,2500+(T122/10000),P122+(T122/10000)+(L122/10))</f>
        <v>2500.0101</v>
      </c>
      <c r="V122" s="50">
        <f>A122</f>
        <v>2</v>
      </c>
      <c r="W122" s="99">
        <f>SMALL(U$121:U$123,A122)</f>
        <v>2500.0101</v>
      </c>
      <c r="X122" s="98">
        <f>VLOOKUP(W122,U$121:V$123,$X$1,FALSE)</f>
        <v>2</v>
      </c>
      <c r="Y122" s="12">
        <f>A122</f>
        <v>2</v>
      </c>
      <c r="Z122" s="50" t="e">
        <f>IF(VLOOKUP($X122,$A$121:$X$123,Z$1,FALSE)&gt;0,"x",0)</f>
        <v>#N/A</v>
      </c>
      <c r="AA122" s="52" t="e">
        <f t="shared" si="134"/>
        <v>#N/A</v>
      </c>
      <c r="AB122" s="52" t="e">
        <f t="shared" si="134"/>
        <v>#N/A</v>
      </c>
      <c r="AC122" s="12" t="str">
        <f t="shared" si="134"/>
        <v>ADW</v>
      </c>
      <c r="AD122" s="55">
        <f t="shared" si="134"/>
      </c>
      <c r="AE122" s="56" t="e">
        <f t="shared" si="134"/>
        <v>#N/A</v>
      </c>
      <c r="AF122" s="12" t="e">
        <f t="shared" si="134"/>
        <v>#N/A</v>
      </c>
      <c r="AG122" s="12" t="e">
        <f t="shared" si="134"/>
        <v>#N/A</v>
      </c>
      <c r="AH122" s="12" t="e">
        <f t="shared" si="134"/>
        <v>#N/A</v>
      </c>
      <c r="AI122" s="12" t="e">
        <f t="shared" si="134"/>
        <v>#N/A</v>
      </c>
      <c r="AJ122" s="12" t="e">
        <f t="shared" si="134"/>
        <v>#N/A</v>
      </c>
      <c r="AK122" s="12" t="e">
        <f t="shared" si="134"/>
        <v>#N/A</v>
      </c>
    </row>
    <row r="123" spans="1:37" s="49" customFormat="1" ht="12.75" hidden="1">
      <c r="A123" s="49">
        <v>3</v>
      </c>
      <c r="B123" s="49" t="e">
        <f>VLOOKUP($A123,'Eingabe Einzelspieler'!$R$2:$V$124,4,FALSE)</f>
        <v>#N/A</v>
      </c>
      <c r="C123" s="49" t="e">
        <f>VLOOKUP($A123,'Eingabe Einzelspieler'!$R$2:$V$124,5,FALSE)</f>
        <v>#N/A</v>
      </c>
      <c r="D123" s="50" t="e">
        <f>IF($B123="",0,VLOOKUP($B123,'Eingabe Einzelspieler'!$A$2:$P$124,D$1,FALSE))</f>
        <v>#N/A</v>
      </c>
      <c r="E123" s="50" t="e">
        <f>IF($B123="",0,VLOOKUP($B123,'Eingabe Einzelspieler'!$A$2:$P$124,E$1,FALSE))</f>
        <v>#N/A</v>
      </c>
      <c r="F123" s="50" t="e">
        <f>IF($B123="",0,VLOOKUP($B123,'Eingabe Einzelspieler'!$A$2:$P$124,F$1,FALSE))</f>
        <v>#N/A</v>
      </c>
      <c r="G123" s="50" t="e">
        <f>IF($B123="",0,VLOOKUP($B123,'Eingabe Einzelspieler'!$A$2:$P$124,G$1,FALSE))</f>
        <v>#N/A</v>
      </c>
      <c r="H123" s="50" t="e">
        <f>IF($B123="",0,VLOOKUP($B123,'Eingabe Einzelspieler'!$A$2:$P$124,H$1,FALSE))</f>
        <v>#N/A</v>
      </c>
      <c r="I123" s="50" t="e">
        <f>IF($B123="",0,VLOOKUP($B123,'Eingabe Einzelspieler'!$A$2:$P$124,I$1,FALSE))</f>
        <v>#N/A</v>
      </c>
      <c r="J123" s="50" t="e">
        <f>SUM(D123:I123)</f>
        <v>#N/A</v>
      </c>
      <c r="K123" s="50">
        <f>COUNTIF(D123:I123,"&gt;0")</f>
        <v>0</v>
      </c>
      <c r="L123" s="50" t="e">
        <f>IF($B123="",0,VLOOKUP($B123,'Eingabe Einzelspieler'!$A$2:$P$124,L$1,FALSE))</f>
        <v>#N/A</v>
      </c>
      <c r="M123" s="50">
        <f>IF(('Eingabe Einzelspieler'!$I$125-1)&gt;K123,1,"")</f>
        <v>1</v>
      </c>
      <c r="N123" s="50">
        <f>IF('Eingabe Einzelspieler'!$I$125=1,0,IF(K123='Eingabe Einzelspieler'!$I$125,1,0))</f>
        <v>0</v>
      </c>
      <c r="O123" s="50">
        <f>IF(N123=1,LARGE(D123:I123,1),"")</f>
      </c>
      <c r="P123" s="50" t="str">
        <f>IF(M123=1,"ADW",IF(N123=1,SUM(J123-O123),J123))</f>
        <v>ADW</v>
      </c>
      <c r="Q123" s="97" t="e">
        <f>IF(J123=0,0,IF(AND(K123=1,N123=1),J123/3,IF(M123=1,"",IF(N123=0,P123/K123/3,P123/(K123-N123)/3))))</f>
        <v>#N/A</v>
      </c>
      <c r="R123" s="98">
        <f>IF(M123=1,100,RANK(P123,$P$121:$P$123,1))</f>
        <v>100</v>
      </c>
      <c r="S123" s="98">
        <f>COUNTIF(R$121:R123,R123)</f>
        <v>3</v>
      </c>
      <c r="T123" s="98">
        <f>R123+S123-1</f>
        <v>102</v>
      </c>
      <c r="U123" s="99">
        <f>IF(M123=1,2500+(T123/10000),P123+(T123/10000)+(L123/10))</f>
        <v>2500.0102</v>
      </c>
      <c r="V123" s="50">
        <f>A123</f>
        <v>3</v>
      </c>
      <c r="W123" s="99">
        <f>SMALL(U$121:U$123,A123)</f>
        <v>2500.0102</v>
      </c>
      <c r="X123" s="98">
        <f>VLOOKUP(W123,U$121:V$123,$X$1,FALSE)</f>
        <v>3</v>
      </c>
      <c r="Y123" s="12">
        <f>A123</f>
        <v>3</v>
      </c>
      <c r="Z123" s="50" t="e">
        <f>IF(VLOOKUP($X123,$A$121:$X$123,Z$1,FALSE)&gt;0,"x",0)</f>
        <v>#N/A</v>
      </c>
      <c r="AA123" s="52" t="e">
        <f t="shared" si="134"/>
        <v>#N/A</v>
      </c>
      <c r="AB123" s="52" t="e">
        <f t="shared" si="134"/>
        <v>#N/A</v>
      </c>
      <c r="AC123" s="12" t="str">
        <f t="shared" si="134"/>
        <v>ADW</v>
      </c>
      <c r="AD123" s="55">
        <f t="shared" si="134"/>
      </c>
      <c r="AE123" s="56" t="e">
        <f t="shared" si="134"/>
        <v>#N/A</v>
      </c>
      <c r="AF123" s="12" t="e">
        <f t="shared" si="134"/>
        <v>#N/A</v>
      </c>
      <c r="AG123" s="12" t="e">
        <f t="shared" si="134"/>
        <v>#N/A</v>
      </c>
      <c r="AH123" s="12" t="e">
        <f t="shared" si="134"/>
        <v>#N/A</v>
      </c>
      <c r="AI123" s="12" t="e">
        <f t="shared" si="134"/>
        <v>#N/A</v>
      </c>
      <c r="AJ123" s="12" t="e">
        <f t="shared" si="134"/>
        <v>#N/A</v>
      </c>
      <c r="AK123" s="12" t="e">
        <f t="shared" si="134"/>
        <v>#N/A</v>
      </c>
    </row>
    <row r="124" ht="12.75" hidden="1">
      <c r="W124" s="89"/>
    </row>
    <row r="125" spans="2:26" ht="12.75">
      <c r="B125" s="87" t="s">
        <v>45</v>
      </c>
      <c r="W125" s="89"/>
      <c r="Y125" s="64" t="str">
        <f>B125</f>
        <v>Schüler männlich</v>
      </c>
      <c r="Z125" s="79"/>
    </row>
    <row r="126" spans="1:37" ht="12.75">
      <c r="A126" s="52">
        <v>1</v>
      </c>
      <c r="B126" s="14" t="str">
        <f>VLOOKUP($A126,'Eingabe Einzelspieler'!$S$2:$V$124,3,FALSE)</f>
        <v>Kube, S</v>
      </c>
      <c r="C126" s="14" t="str">
        <f>VLOOKUP($A126,'Eingabe Einzelspieler'!$S$2:$V$124,4,FALSE)</f>
        <v>MGC "AS" Witten</v>
      </c>
      <c r="D126" s="34">
        <f>IF($B126="",0,VLOOKUP($B126,'Eingabe Einzelspieler'!$A$2:$P$124,D$1,FALSE))</f>
        <v>108</v>
      </c>
      <c r="E126" s="34">
        <f>IF($B126="",0,VLOOKUP($B126,'Eingabe Einzelspieler'!$A$2:$P$124,E$1,FALSE))</f>
        <v>105</v>
      </c>
      <c r="F126" s="34">
        <f>IF($B126="",0,VLOOKUP($B126,'Eingabe Einzelspieler'!$A$2:$P$124,F$1,FALSE))</f>
        <v>106</v>
      </c>
      <c r="G126" s="34">
        <f>IF($B126="",0,VLOOKUP($B126,'Eingabe Einzelspieler'!$A$2:$P$124,G$1,FALSE))</f>
        <v>92</v>
      </c>
      <c r="H126" s="34">
        <f>IF($B126="",0,VLOOKUP($B126,'Eingabe Einzelspieler'!$A$2:$P$124,H$1,FALSE))</f>
        <v>89</v>
      </c>
      <c r="I126" s="34">
        <f>IF($B126="",0,VLOOKUP($B126,'Eingabe Einzelspieler'!$A$2:$P$124,I$1,FALSE))</f>
        <v>90</v>
      </c>
      <c r="J126" s="10">
        <f>SUM(D126:I126)</f>
        <v>590</v>
      </c>
      <c r="K126" s="10">
        <f>COUNTIF(D126:I126,"&gt;0")</f>
        <v>6</v>
      </c>
      <c r="L126" s="10">
        <f>IF($B126="",0,VLOOKUP($B126,'Eingabe Einzelspieler'!$A$2:$P$124,L$1,FALSE))</f>
        <v>0</v>
      </c>
      <c r="M126" s="10">
        <f>IF(('Eingabe Einzelspieler'!$I$125-1)&gt;K126,1,"")</f>
      </c>
      <c r="N126" s="10">
        <f>IF('Eingabe Einzelspieler'!$I$125=1,0,IF(K126='Eingabe Einzelspieler'!$I$125,1,0))</f>
        <v>1</v>
      </c>
      <c r="O126" s="10">
        <f>IF(N126=1,LARGE(D126:I126,1),"")</f>
        <v>108</v>
      </c>
      <c r="P126" s="10">
        <f>IF(M126=1,"ADW",IF(N126=1,SUM(J126-O126),J126))</f>
        <v>482</v>
      </c>
      <c r="Q126" s="82">
        <f>IF(J126=0,0,IF(AND(K126=1,N126=1),J126/3,IF(M126=1,"",IF(N126=0,P126/K126/3,P126/(K126-N126)/3))))</f>
        <v>32.13333333333333</v>
      </c>
      <c r="R126" s="83">
        <f>IF(M126=1,100,RANK(P126,$P$126:$P$129,1))</f>
        <v>2</v>
      </c>
      <c r="S126" s="83">
        <f>COUNTIF(R$126:R126,R126)</f>
        <v>1</v>
      </c>
      <c r="T126" s="83">
        <f>R126+S126-1</f>
        <v>2</v>
      </c>
      <c r="U126" s="88">
        <f>IF(M126=1,2500+(T126/10000),P126+(T126/10000)+(L126/10))</f>
        <v>482.0002</v>
      </c>
      <c r="V126" s="34">
        <f>A126</f>
        <v>1</v>
      </c>
      <c r="W126" s="88">
        <f>SMALL(U$126:U$129,A126)</f>
        <v>469.0001</v>
      </c>
      <c r="X126" s="83">
        <f>VLOOKUP(W126,U$126:V$129,$X$1,FALSE)</f>
        <v>4</v>
      </c>
      <c r="Y126" s="12">
        <f>A126</f>
        <v>1</v>
      </c>
      <c r="Z126" s="50">
        <f>IF(VLOOKUP($X126,$A$126:$X$129,Z$1,FALSE)&gt;0,"x",0)</f>
        <v>0</v>
      </c>
      <c r="AA126" s="52" t="str">
        <f aca="true" t="shared" si="135" ref="AA126:AK129">VLOOKUP($X126,$A$126:$X$129,AA$1,FALSE)</f>
        <v>Meike, Den</v>
      </c>
      <c r="AB126" s="52" t="str">
        <f t="shared" si="135"/>
        <v>MGC Neviges</v>
      </c>
      <c r="AC126" s="12">
        <f t="shared" si="135"/>
        <v>469</v>
      </c>
      <c r="AD126" s="55">
        <f t="shared" si="135"/>
        <v>98</v>
      </c>
      <c r="AE126" s="56">
        <f t="shared" si="135"/>
        <v>31.266666666666666</v>
      </c>
      <c r="AF126" s="12">
        <f t="shared" si="135"/>
        <v>98</v>
      </c>
      <c r="AG126" s="12">
        <f t="shared" si="135"/>
        <v>98</v>
      </c>
      <c r="AH126" s="12">
        <f t="shared" si="135"/>
        <v>98</v>
      </c>
      <c r="AI126" s="12">
        <f t="shared" si="135"/>
        <v>87</v>
      </c>
      <c r="AJ126" s="12">
        <f t="shared" si="135"/>
        <v>90</v>
      </c>
      <c r="AK126" s="12">
        <f t="shared" si="135"/>
        <v>96</v>
      </c>
    </row>
    <row r="127" spans="1:37" ht="12.75">
      <c r="A127" s="52">
        <v>2</v>
      </c>
      <c r="B127" s="14" t="str">
        <f>VLOOKUP($A127,'Eingabe Einzelspieler'!$S$2:$V$124,3,FALSE)</f>
        <v>Wien, A</v>
      </c>
      <c r="C127" s="14" t="str">
        <f>VLOOKUP($A127,'Eingabe Einzelspieler'!$S$2:$V$124,4,FALSE)</f>
        <v>1.MSC Wesel</v>
      </c>
      <c r="D127" s="34">
        <f>IF($B127="",0,VLOOKUP($B127,'Eingabe Einzelspieler'!$A$2:$P$124,D$1,FALSE))</f>
        <v>114</v>
      </c>
      <c r="E127" s="34">
        <f>IF($B127="",0,VLOOKUP($B127,'Eingabe Einzelspieler'!$A$2:$P$124,E$1,FALSE))</f>
        <v>99</v>
      </c>
      <c r="F127" s="34">
        <f>IF($B127="",0,VLOOKUP($B127,'Eingabe Einzelspieler'!$A$2:$P$124,F$1,FALSE))</f>
        <v>98</v>
      </c>
      <c r="G127" s="34">
        <f>IF($B127="",0,VLOOKUP($B127,'Eingabe Einzelspieler'!$A$2:$P$124,G$1,FALSE))</f>
        <v>96</v>
      </c>
      <c r="H127" s="34">
        <f>IF($B127="",0,VLOOKUP($B127,'Eingabe Einzelspieler'!$A$2:$P$124,H$1,FALSE))</f>
        <v>103</v>
      </c>
      <c r="I127" s="34">
        <f>IF($B127="",0,VLOOKUP($B127,'Eingabe Einzelspieler'!$A$2:$P$124,I$1,FALSE))</f>
        <v>90</v>
      </c>
      <c r="J127" s="10">
        <f>SUM(D127:I127)</f>
        <v>600</v>
      </c>
      <c r="K127" s="10">
        <f>COUNTIF(D127:I127,"&gt;0")</f>
        <v>6</v>
      </c>
      <c r="L127" s="10">
        <f>IF($B127="",0,VLOOKUP($B127,'Eingabe Einzelspieler'!$A$2:$P$124,L$1,FALSE))</f>
        <v>0</v>
      </c>
      <c r="M127" s="10">
        <f>IF(('Eingabe Einzelspieler'!$I$125-1)&gt;K127,1,"")</f>
      </c>
      <c r="N127" s="10">
        <f>IF('Eingabe Einzelspieler'!$I$125=1,0,IF(K127='Eingabe Einzelspieler'!$I$125,1,0))</f>
        <v>1</v>
      </c>
      <c r="O127" s="10">
        <f>IF(N127=1,LARGE(D127:I127,1),"")</f>
        <v>114</v>
      </c>
      <c r="P127" s="10">
        <f>IF(M127=1,"ADW",IF(N127=1,SUM(J127-O127),J127))</f>
        <v>486</v>
      </c>
      <c r="Q127" s="82">
        <f>IF(J127=0,0,IF(AND(K127=1,N127=1),J127/3,IF(M127=1,"",IF(N127=0,P127/K127/3,P127/(K127-N127)/3))))</f>
        <v>32.4</v>
      </c>
      <c r="R127" s="83">
        <f>IF(M127=1,100,RANK(P127,$P$126:$P$129,1))</f>
        <v>3</v>
      </c>
      <c r="S127" s="83">
        <f>COUNTIF(R$126:R127,R127)</f>
        <v>1</v>
      </c>
      <c r="T127" s="83">
        <f>R127+S127-1</f>
        <v>3</v>
      </c>
      <c r="U127" s="88">
        <f>IF(M127=1,2500+(T127/10000),P127+(T127/10000)+(L127/10))</f>
        <v>486.0003</v>
      </c>
      <c r="V127" s="34">
        <f>A127</f>
        <v>2</v>
      </c>
      <c r="W127" s="88">
        <f>SMALL(U$126:U$129,A127)</f>
        <v>482.0002</v>
      </c>
      <c r="X127" s="83">
        <f>VLOOKUP(W127,U$126:V$129,$X$1,FALSE)</f>
        <v>1</v>
      </c>
      <c r="Y127" s="12">
        <f>A127</f>
        <v>2</v>
      </c>
      <c r="Z127" s="50">
        <f>IF(VLOOKUP($X127,$A$126:$X$129,Z$1,FALSE)&gt;0,"x",0)</f>
        <v>0</v>
      </c>
      <c r="AA127" s="101" t="str">
        <f t="shared" si="135"/>
        <v>Kube, S</v>
      </c>
      <c r="AB127" s="101" t="str">
        <f t="shared" si="135"/>
        <v>MGC "AS" Witten</v>
      </c>
      <c r="AC127" s="102">
        <f t="shared" si="135"/>
        <v>482</v>
      </c>
      <c r="AD127" s="55">
        <f t="shared" si="135"/>
        <v>108</v>
      </c>
      <c r="AE127" s="56">
        <f t="shared" si="135"/>
        <v>32.13333333333333</v>
      </c>
      <c r="AF127" s="12">
        <f t="shared" si="135"/>
        <v>108</v>
      </c>
      <c r="AG127" s="12">
        <f t="shared" si="135"/>
        <v>105</v>
      </c>
      <c r="AH127" s="12">
        <f t="shared" si="135"/>
        <v>106</v>
      </c>
      <c r="AI127" s="12">
        <f t="shared" si="135"/>
        <v>92</v>
      </c>
      <c r="AJ127" s="12">
        <f t="shared" si="135"/>
        <v>89</v>
      </c>
      <c r="AK127" s="12">
        <f t="shared" si="135"/>
        <v>90</v>
      </c>
    </row>
    <row r="128" spans="1:37" ht="12.75">
      <c r="A128" s="52">
        <v>3</v>
      </c>
      <c r="B128" s="14" t="str">
        <f>VLOOKUP($A128,'Eingabe Einzelspieler'!$S$2:$V$124,3,FALSE)</f>
        <v>Dittebrand, M</v>
      </c>
      <c r="C128" s="14" t="str">
        <f>VLOOKUP($A128,'Eingabe Einzelspieler'!$S$2:$V$124,4,FALSE)</f>
        <v>1.MSC Wesel</v>
      </c>
      <c r="D128" s="34">
        <f>IF($B128="",0,VLOOKUP($B128,'Eingabe Einzelspieler'!$A$2:$P$124,D$1,FALSE))</f>
        <v>128</v>
      </c>
      <c r="E128" s="34">
        <f>IF($B128="",0,VLOOKUP($B128,'Eingabe Einzelspieler'!$A$2:$P$124,E$1,FALSE))</f>
        <v>118</v>
      </c>
      <c r="F128" s="34">
        <f>IF($B128="",0,VLOOKUP($B128,'Eingabe Einzelspieler'!$A$2:$P$124,F$1,FALSE))</f>
        <v>114</v>
      </c>
      <c r="G128" s="34">
        <f>IF($B128="",0,VLOOKUP($B128,'Eingabe Einzelspieler'!$A$2:$P$124,G$1,FALSE))</f>
        <v>0</v>
      </c>
      <c r="H128" s="34">
        <f>IF($B128="",0,VLOOKUP($B128,'Eingabe Einzelspieler'!$A$2:$P$124,H$1,FALSE))</f>
        <v>0</v>
      </c>
      <c r="I128" s="34">
        <f>IF($B128="",0,VLOOKUP($B128,'Eingabe Einzelspieler'!$A$2:$P$124,I$1,FALSE))</f>
        <v>0</v>
      </c>
      <c r="J128" s="10">
        <f>SUM(D128:I128)</f>
        <v>360</v>
      </c>
      <c r="K128" s="10">
        <f>COUNTIF(D128:I128,"&gt;0")</f>
        <v>3</v>
      </c>
      <c r="L128" s="10">
        <f>IF($B128="",0,VLOOKUP($B128,'Eingabe Einzelspieler'!$A$2:$P$124,L$1,FALSE))</f>
        <v>0</v>
      </c>
      <c r="M128" s="10">
        <f>IF(('Eingabe Einzelspieler'!$I$125-1)&gt;K128,1,"")</f>
        <v>1</v>
      </c>
      <c r="N128" s="10">
        <f>IF('Eingabe Einzelspieler'!$I$125=1,0,IF(K128='Eingabe Einzelspieler'!$I$125,1,0))</f>
        <v>0</v>
      </c>
      <c r="O128" s="10">
        <f>IF(N128=1,LARGE(D128:I128,1),"")</f>
      </c>
      <c r="P128" s="10" t="str">
        <f>IF(M128=1,"ADW",IF(N128=1,SUM(J128-O128),J128))</f>
        <v>ADW</v>
      </c>
      <c r="Q128" s="82">
        <f>IF(J128=0,0,IF(AND(K128=1,N128=1),J128/3,IF(M128=1,"",IF(N128=0,P128/K128/3,P128/(K128-N128)/3))))</f>
      </c>
      <c r="R128" s="83">
        <f>IF(M128=1,100,RANK(P128,$P$126:$P$129,1))</f>
        <v>100</v>
      </c>
      <c r="S128" s="83">
        <f>COUNTIF(R$126:R128,R128)</f>
        <v>1</v>
      </c>
      <c r="T128" s="83">
        <f>R128+S128-1</f>
        <v>100</v>
      </c>
      <c r="U128" s="88">
        <f>IF(M128=1,2500+(T128/10000),P128+(T128/10000)+(L128/10))</f>
        <v>2500.01</v>
      </c>
      <c r="V128" s="34">
        <f>A128</f>
        <v>3</v>
      </c>
      <c r="W128" s="88">
        <f>SMALL(U$126:U$129,A128)</f>
        <v>486.0003</v>
      </c>
      <c r="X128" s="83">
        <f>VLOOKUP(W128,U$126:V$129,$X$1,FALSE)</f>
        <v>2</v>
      </c>
      <c r="Y128" s="12">
        <f>A128</f>
        <v>3</v>
      </c>
      <c r="Z128" s="50">
        <f>IF(VLOOKUP($X128,$A$126:$X$129,Z$1,FALSE)&gt;0,"x",0)</f>
        <v>0</v>
      </c>
      <c r="AA128" s="52" t="str">
        <f t="shared" si="135"/>
        <v>Wien, A</v>
      </c>
      <c r="AB128" s="52" t="str">
        <f t="shared" si="135"/>
        <v>1.MSC Wesel</v>
      </c>
      <c r="AC128" s="12">
        <f t="shared" si="135"/>
        <v>486</v>
      </c>
      <c r="AD128" s="55">
        <f t="shared" si="135"/>
        <v>114</v>
      </c>
      <c r="AE128" s="56">
        <f t="shared" si="135"/>
        <v>32.4</v>
      </c>
      <c r="AF128" s="12">
        <f t="shared" si="135"/>
        <v>114</v>
      </c>
      <c r="AG128" s="12">
        <f t="shared" si="135"/>
        <v>99</v>
      </c>
      <c r="AH128" s="12">
        <f t="shared" si="135"/>
        <v>98</v>
      </c>
      <c r="AI128" s="12">
        <f t="shared" si="135"/>
        <v>96</v>
      </c>
      <c r="AJ128" s="12">
        <f t="shared" si="135"/>
        <v>103</v>
      </c>
      <c r="AK128" s="12">
        <f t="shared" si="135"/>
        <v>90</v>
      </c>
    </row>
    <row r="129" spans="1:37" ht="12.75" hidden="1">
      <c r="A129" s="52">
        <v>4</v>
      </c>
      <c r="B129" s="14" t="str">
        <f>VLOOKUP($A129,'Eingabe Einzelspieler'!$S$2:$V$124,3,FALSE)</f>
        <v>Meike, Den</v>
      </c>
      <c r="C129" s="14" t="str">
        <f>VLOOKUP($A129,'Eingabe Einzelspieler'!$S$2:$V$124,4,FALSE)</f>
        <v>MGC Neviges</v>
      </c>
      <c r="D129" s="34">
        <f>IF($B129="",0,VLOOKUP($B129,'Eingabe Einzelspieler'!$A$2:$P$124,D$1,FALSE))</f>
        <v>98</v>
      </c>
      <c r="E129" s="34">
        <f>IF($B129="",0,VLOOKUP($B129,'Eingabe Einzelspieler'!$A$2:$P$124,E$1,FALSE))</f>
        <v>98</v>
      </c>
      <c r="F129" s="34">
        <f>IF($B129="",0,VLOOKUP($B129,'Eingabe Einzelspieler'!$A$2:$P$124,F$1,FALSE))</f>
        <v>98</v>
      </c>
      <c r="G129" s="34">
        <f>IF($B129="",0,VLOOKUP($B129,'Eingabe Einzelspieler'!$A$2:$P$124,G$1,FALSE))</f>
        <v>87</v>
      </c>
      <c r="H129" s="34">
        <f>IF($B129="",0,VLOOKUP($B129,'Eingabe Einzelspieler'!$A$2:$P$124,H$1,FALSE))</f>
        <v>90</v>
      </c>
      <c r="I129" s="34">
        <f>IF($B129="",0,VLOOKUP($B129,'Eingabe Einzelspieler'!$A$2:$P$124,I$1,FALSE))</f>
        <v>96</v>
      </c>
      <c r="J129" s="10">
        <f>SUM(D129:I129)</f>
        <v>567</v>
      </c>
      <c r="K129" s="10">
        <f>COUNTIF(D129:I129,"&gt;0")</f>
        <v>6</v>
      </c>
      <c r="L129" s="10">
        <f>IF($B129="",0,VLOOKUP($B129,'Eingabe Einzelspieler'!$A$2:$P$124,L$1,FALSE))</f>
        <v>0</v>
      </c>
      <c r="M129" s="10">
        <f>IF(('Eingabe Einzelspieler'!$I$125-1)&gt;K129,1,"")</f>
      </c>
      <c r="N129" s="10">
        <f>IF('Eingabe Einzelspieler'!$I$125=1,0,IF(K129='Eingabe Einzelspieler'!$I$125,1,0))</f>
        <v>1</v>
      </c>
      <c r="O129" s="10">
        <f>IF(N129=1,LARGE(D129:I129,1),"")</f>
        <v>98</v>
      </c>
      <c r="P129" s="10">
        <f>IF(M129=1,"ADW",IF(N129=1,SUM(J129-O129),J129))</f>
        <v>469</v>
      </c>
      <c r="Q129" s="82">
        <f>IF(J129=0,0,IF(AND(K129=1,N129=1),J129/3,IF(M129=1,"",IF(N129=0,P129/K129/3,P129/(K129-N129)/3))))</f>
        <v>31.266666666666666</v>
      </c>
      <c r="R129" s="83">
        <f>IF(M129=1,100,RANK(P129,$P$126:$P$129,1))</f>
        <v>1</v>
      </c>
      <c r="S129" s="83">
        <f>COUNTIF(R$126:R129,R129)</f>
        <v>1</v>
      </c>
      <c r="T129" s="83">
        <f>R129+S129-1</f>
        <v>1</v>
      </c>
      <c r="U129" s="88">
        <f>IF(M129=1,2500+(T129/10000),P129+(T129/10000)+(L129/10))</f>
        <v>469.0001</v>
      </c>
      <c r="V129" s="34">
        <f>A129</f>
        <v>4</v>
      </c>
      <c r="W129" s="88">
        <f>SMALL(U$126:U$129,A129)</f>
        <v>2500.01</v>
      </c>
      <c r="X129" s="83">
        <f>VLOOKUP(W129,U$126:V$129,$X$1,FALSE)</f>
        <v>3</v>
      </c>
      <c r="Y129" s="12">
        <f>A129</f>
        <v>4</v>
      </c>
      <c r="Z129" s="50">
        <f>IF(VLOOKUP($X129,$A$126:$X$129,Z$1,FALSE)&gt;0,"x",0)</f>
        <v>0</v>
      </c>
      <c r="AA129" s="52" t="str">
        <f t="shared" si="135"/>
        <v>Dittebrand, M</v>
      </c>
      <c r="AB129" s="52" t="str">
        <f t="shared" si="135"/>
        <v>1.MSC Wesel</v>
      </c>
      <c r="AC129" s="12" t="str">
        <f t="shared" si="135"/>
        <v>ADW</v>
      </c>
      <c r="AD129" s="55">
        <f t="shared" si="135"/>
      </c>
      <c r="AE129" s="56">
        <f t="shared" si="135"/>
      </c>
      <c r="AF129" s="12">
        <f t="shared" si="135"/>
        <v>128</v>
      </c>
      <c r="AG129" s="12">
        <f t="shared" si="135"/>
        <v>118</v>
      </c>
      <c r="AH129" s="12">
        <f t="shared" si="135"/>
        <v>114</v>
      </c>
      <c r="AI129" s="12">
        <f t="shared" si="135"/>
        <v>0</v>
      </c>
      <c r="AJ129" s="12">
        <f t="shared" si="135"/>
        <v>0</v>
      </c>
      <c r="AK129" s="12">
        <f t="shared" si="135"/>
        <v>0</v>
      </c>
    </row>
    <row r="130" ht="12.75" hidden="1">
      <c r="W130" s="89"/>
    </row>
    <row r="131" spans="2:26" ht="12.75" hidden="1">
      <c r="B131" s="87" t="s">
        <v>46</v>
      </c>
      <c r="W131" s="89"/>
      <c r="Y131" s="64" t="str">
        <f>B131</f>
        <v>Schüler weiblich</v>
      </c>
      <c r="Z131" s="79"/>
    </row>
    <row r="132" spans="1:37" ht="12.75" hidden="1">
      <c r="A132" s="52">
        <v>1</v>
      </c>
      <c r="B132" s="14" t="e">
        <f>VLOOKUP($A132,'Eingabe Einzelspieler'!$T$2:$V$124,2,FALSE)</f>
        <v>#N/A</v>
      </c>
      <c r="C132" s="14" t="e">
        <f>VLOOKUP($A132,'Eingabe Einzelspieler'!$T$2:$V$124,3,FALSE)</f>
        <v>#N/A</v>
      </c>
      <c r="D132" s="34" t="e">
        <f>IF($B132="",0,VLOOKUP($B132,'Eingabe Einzelspieler'!$A$2:$P$124,D$1,FALSE))</f>
        <v>#N/A</v>
      </c>
      <c r="E132" s="34" t="e">
        <f>IF($B132="",0,VLOOKUP($B132,'Eingabe Einzelspieler'!$A$2:$P$124,E$1,FALSE))</f>
        <v>#N/A</v>
      </c>
      <c r="F132" s="34" t="e">
        <f>IF($B132="",0,VLOOKUP($B132,'Eingabe Einzelspieler'!$A$2:$P$124,F$1,FALSE))</f>
        <v>#N/A</v>
      </c>
      <c r="G132" s="34" t="e">
        <f>IF($B132="",0,VLOOKUP($B132,'Eingabe Einzelspieler'!$A$2:$P$124,G$1,FALSE))</f>
        <v>#N/A</v>
      </c>
      <c r="H132" s="34" t="e">
        <f>IF($B132="",0,VLOOKUP($B132,'Eingabe Einzelspieler'!$A$2:$P$124,H$1,FALSE))</f>
        <v>#N/A</v>
      </c>
      <c r="I132" s="34" t="e">
        <f>IF($B132="",0,VLOOKUP($B132,'Eingabe Einzelspieler'!$A$2:$P$124,I$1,FALSE))</f>
        <v>#N/A</v>
      </c>
      <c r="J132" s="10" t="e">
        <f>SUM(D132:I132)</f>
        <v>#N/A</v>
      </c>
      <c r="K132" s="10">
        <f>COUNTIF(D132:I132,"&gt;0")</f>
        <v>0</v>
      </c>
      <c r="L132" s="10" t="e">
        <f>IF($B132="",0,VLOOKUP($B132,'Eingabe Einzelspieler'!$A$2:$P$124,L$1,FALSE))</f>
        <v>#N/A</v>
      </c>
      <c r="M132" s="10">
        <f>IF(('Eingabe Einzelspieler'!$I$125-1)&gt;K132,1,"")</f>
        <v>1</v>
      </c>
      <c r="N132" s="10">
        <f>IF('Eingabe Einzelspieler'!$I$125=1,0,IF(K132='Eingabe Einzelspieler'!$I$125,1,0))</f>
        <v>0</v>
      </c>
      <c r="O132" s="10">
        <f>IF(N132=1,LARGE(D132:I132,1),"")</f>
      </c>
      <c r="P132" s="10" t="str">
        <f>IF(M132=1,"ADW",IF(N132=1,SUM(J132-O132),J132))</f>
        <v>ADW</v>
      </c>
      <c r="Q132" s="82" t="e">
        <f>IF(J132=0,0,IF(AND(K132=1,N132=1),J132/3,IF(M132=1,"",IF(N132=0,P132/K132/3,P132/(K132-N132)/3))))</f>
        <v>#N/A</v>
      </c>
      <c r="R132" s="83">
        <f>IF(M132=1,100,RANK(P132,$P$132:$P$133,1))</f>
        <v>100</v>
      </c>
      <c r="S132" s="83">
        <f>COUNTIF(R$132:R132,R132)</f>
        <v>1</v>
      </c>
      <c r="T132" s="83">
        <f>R132+S132-1</f>
        <v>100</v>
      </c>
      <c r="U132" s="88">
        <f>IF(M132=1,2500+(T132/10000),P132+(T132/10000)+(L132/10))</f>
        <v>2500.01</v>
      </c>
      <c r="V132" s="34">
        <f>A132</f>
        <v>1</v>
      </c>
      <c r="W132" s="88">
        <f>SMALL(U$132:U$133,A132)</f>
        <v>2500.01</v>
      </c>
      <c r="X132" s="83">
        <f>VLOOKUP(W132,U$132:V$133,$X$1,FALSE)</f>
        <v>1</v>
      </c>
      <c r="Y132" s="12">
        <f>A132</f>
        <v>1</v>
      </c>
      <c r="Z132" s="50" t="e">
        <f>IF(VLOOKUP($X132,$A$132:$X$133,Z$1,FALSE)&gt;0,"x",0)</f>
        <v>#N/A</v>
      </c>
      <c r="AA132" s="52" t="e">
        <f aca="true" t="shared" si="136" ref="AA132:AK133">VLOOKUP($X132,$A$132:$X$133,AA$1,FALSE)</f>
        <v>#N/A</v>
      </c>
      <c r="AB132" s="52" t="e">
        <f t="shared" si="136"/>
        <v>#N/A</v>
      </c>
      <c r="AC132" s="12" t="str">
        <f t="shared" si="136"/>
        <v>ADW</v>
      </c>
      <c r="AD132" s="55">
        <f t="shared" si="136"/>
      </c>
      <c r="AE132" s="56" t="e">
        <f t="shared" si="136"/>
        <v>#N/A</v>
      </c>
      <c r="AF132" s="12" t="e">
        <f t="shared" si="136"/>
        <v>#N/A</v>
      </c>
      <c r="AG132" s="12" t="e">
        <f t="shared" si="136"/>
        <v>#N/A</v>
      </c>
      <c r="AH132" s="12" t="e">
        <f t="shared" si="136"/>
        <v>#N/A</v>
      </c>
      <c r="AI132" s="12" t="e">
        <f t="shared" si="136"/>
        <v>#N/A</v>
      </c>
      <c r="AJ132" s="12" t="e">
        <f t="shared" si="136"/>
        <v>#N/A</v>
      </c>
      <c r="AK132" s="12" t="e">
        <f t="shared" si="136"/>
        <v>#N/A</v>
      </c>
    </row>
    <row r="133" spans="1:37" s="49" customFormat="1" ht="12.75" hidden="1">
      <c r="A133" s="49">
        <v>1</v>
      </c>
      <c r="B133" s="49" t="e">
        <f>VLOOKUP($A133,'Eingabe Einzelspieler'!$T$2:$V$124,2,FALSE)</f>
        <v>#N/A</v>
      </c>
      <c r="C133" s="49" t="e">
        <f>VLOOKUP($A133,'Eingabe Einzelspieler'!$T$2:$V$124,3,FALSE)</f>
        <v>#N/A</v>
      </c>
      <c r="D133" s="50" t="e">
        <f>IF($B133="",0,VLOOKUP($B133,'Eingabe Einzelspieler'!$A$2:$P$124,D$1,FALSE))</f>
        <v>#N/A</v>
      </c>
      <c r="E133" s="50" t="e">
        <f>IF($B133="",0,VLOOKUP($B133,'Eingabe Einzelspieler'!$A$2:$P$124,E$1,FALSE))</f>
        <v>#N/A</v>
      </c>
      <c r="F133" s="50" t="e">
        <f>IF($B133="",0,VLOOKUP($B133,'Eingabe Einzelspieler'!$A$2:$P$124,F$1,FALSE))</f>
        <v>#N/A</v>
      </c>
      <c r="G133" s="50" t="e">
        <f>IF($B133="",0,VLOOKUP($B133,'Eingabe Einzelspieler'!$A$2:$P$124,G$1,FALSE))</f>
        <v>#N/A</v>
      </c>
      <c r="H133" s="50" t="e">
        <f>IF($B133="",0,VLOOKUP($B133,'Eingabe Einzelspieler'!$A$2:$P$124,H$1,FALSE))</f>
        <v>#N/A</v>
      </c>
      <c r="I133" s="50" t="e">
        <f>IF($B133="",0,VLOOKUP($B133,'Eingabe Einzelspieler'!$A$2:$P$124,I$1,FALSE))</f>
        <v>#N/A</v>
      </c>
      <c r="J133" s="50" t="e">
        <f>SUM(D133:I133)</f>
        <v>#N/A</v>
      </c>
      <c r="K133" s="50">
        <f>COUNTIF(D133:I133,"&gt;0")</f>
        <v>0</v>
      </c>
      <c r="L133" s="50" t="e">
        <f>IF($B133="",0,VLOOKUP($B133,'Eingabe Einzelspieler'!$A$2:$P$124,L$1,FALSE))</f>
        <v>#N/A</v>
      </c>
      <c r="M133" s="50">
        <f>IF(('Eingabe Einzelspieler'!$I$125-1)&gt;K133,1,"")</f>
        <v>1</v>
      </c>
      <c r="N133" s="50">
        <f>IF('Eingabe Einzelspieler'!$I$125=1,0,IF(K133='Eingabe Einzelspieler'!$I$125,1,0))</f>
        <v>0</v>
      </c>
      <c r="O133" s="50">
        <f>IF(N133=1,LARGE(D133:I133,1),"")</f>
      </c>
      <c r="P133" s="50" t="str">
        <f>IF(M133=1,"ADW",IF(N133=1,SUM(J133-O133),J133))</f>
        <v>ADW</v>
      </c>
      <c r="Q133" s="97" t="e">
        <f>IF(J133=0,0,IF(AND(K133=1,N133=1),J133/3,IF(M133=1,"",IF(N133=0,P133/K133/3,P133/(K133-N133)/3))))</f>
        <v>#N/A</v>
      </c>
      <c r="R133" s="98">
        <f>IF(M133=1,100,RANK(P133,$P$132:$P$133,1))</f>
        <v>100</v>
      </c>
      <c r="S133" s="98">
        <f>COUNTIF(R$132:R133,R133)</f>
        <v>2</v>
      </c>
      <c r="T133" s="98">
        <f>R133+S133-1</f>
        <v>101</v>
      </c>
      <c r="U133" s="99">
        <f>IF(M133=1,2500+(T133/10000),P133+(T133/10000)+(L133/10))</f>
        <v>2500.0101</v>
      </c>
      <c r="V133" s="50">
        <f>A133</f>
        <v>1</v>
      </c>
      <c r="W133" s="99">
        <f>SMALL(U$132:U$133,A133)</f>
        <v>2500.01</v>
      </c>
      <c r="X133" s="98">
        <f>VLOOKUP(W133,U$132:V$133,$X$1,FALSE)</f>
        <v>1</v>
      </c>
      <c r="Y133" s="12">
        <f>A133</f>
        <v>1</v>
      </c>
      <c r="Z133" s="50" t="e">
        <f>IF(VLOOKUP($X133,$A$132:$X$133,Z$1,FALSE)&gt;0,"x",0)</f>
        <v>#N/A</v>
      </c>
      <c r="AA133" s="52" t="e">
        <f t="shared" si="136"/>
        <v>#N/A</v>
      </c>
      <c r="AB133" s="52" t="e">
        <f t="shared" si="136"/>
        <v>#N/A</v>
      </c>
      <c r="AC133" s="12" t="str">
        <f t="shared" si="136"/>
        <v>ADW</v>
      </c>
      <c r="AD133" s="55">
        <f t="shared" si="136"/>
      </c>
      <c r="AE133" s="56" t="e">
        <f t="shared" si="136"/>
        <v>#N/A</v>
      </c>
      <c r="AF133" s="12" t="e">
        <f t="shared" si="136"/>
        <v>#N/A</v>
      </c>
      <c r="AG133" s="12" t="e">
        <f t="shared" si="136"/>
        <v>#N/A</v>
      </c>
      <c r="AH133" s="12" t="e">
        <f t="shared" si="136"/>
        <v>#N/A</v>
      </c>
      <c r="AI133" s="12" t="e">
        <f t="shared" si="136"/>
        <v>#N/A</v>
      </c>
      <c r="AJ133" s="12" t="e">
        <f t="shared" si="136"/>
        <v>#N/A</v>
      </c>
      <c r="AK133" s="12" t="e">
        <f t="shared" si="136"/>
        <v>#N/A</v>
      </c>
    </row>
  </sheetData>
  <printOptions/>
  <pageMargins left="0.1968503937007874" right="0.1968503937007874" top="0.1968503937007874" bottom="0.275590551181102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rowBreaks count="2" manualBreakCount="2">
    <brk id="42" max="255" man="1"/>
    <brk id="8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76"/>
  <sheetViews>
    <sheetView view="pageBreakPreview" zoomScale="75" zoomScaleSheetLayoutView="75" workbookViewId="0" topLeftCell="A1">
      <selection activeCell="BA40" sqref="BA40"/>
    </sheetView>
  </sheetViews>
  <sheetFormatPr defaultColWidth="11.421875" defaultRowHeight="12.75"/>
  <cols>
    <col min="1" max="1" width="3.7109375" style="52" customWidth="1"/>
    <col min="2" max="2" width="20.7109375" style="3" customWidth="1"/>
    <col min="3" max="3" width="16.7109375" style="3" hidden="1" customWidth="1"/>
    <col min="4" max="33" width="6.7109375" style="3" hidden="1" customWidth="1"/>
    <col min="34" max="34" width="8.7109375" style="3" hidden="1" customWidth="1"/>
    <col min="35" max="36" width="7.7109375" style="3" hidden="1" customWidth="1"/>
    <col min="37" max="38" width="8.7109375" style="3" hidden="1" customWidth="1"/>
    <col min="39" max="39" width="8.57421875" style="3" hidden="1" customWidth="1"/>
    <col min="40" max="40" width="8.7109375" style="3" hidden="1" customWidth="1"/>
    <col min="41" max="41" width="8.7109375" style="11" hidden="1" customWidth="1"/>
    <col min="42" max="43" width="8.7109375" style="3" hidden="1" customWidth="1"/>
    <col min="44" max="47" width="8.7109375" style="11" hidden="1" customWidth="1"/>
    <col min="48" max="48" width="3.7109375" style="3" hidden="1" customWidth="1"/>
    <col min="49" max="50" width="0" style="11" hidden="1" customWidth="1"/>
    <col min="51" max="51" width="3.7109375" style="11" customWidth="1"/>
    <col min="52" max="52" width="3.7109375" style="50" customWidth="1"/>
    <col min="53" max="53" width="19.00390625" style="3" customWidth="1"/>
    <col min="54" max="54" width="20.00390625" style="3" customWidth="1"/>
    <col min="55" max="55" width="4.7109375" style="3" customWidth="1"/>
    <col min="56" max="56" width="1.7109375" style="3" customWidth="1"/>
    <col min="57" max="57" width="4.7109375" style="3" customWidth="1"/>
    <col min="58" max="58" width="11.57421875" style="3" customWidth="1"/>
    <col min="59" max="59" width="11.57421875" style="3" bestFit="1" customWidth="1"/>
    <col min="60" max="65" width="11.7109375" style="3" customWidth="1"/>
    <col min="66" max="16384" width="11.421875" style="3" customWidth="1"/>
  </cols>
  <sheetData>
    <row r="1" spans="1:65" s="37" customFormat="1" ht="12.75">
      <c r="A1" s="52"/>
      <c r="C1" s="62"/>
      <c r="D1" s="37">
        <v>4</v>
      </c>
      <c r="I1" s="37">
        <v>5</v>
      </c>
      <c r="N1" s="37">
        <v>6</v>
      </c>
      <c r="S1" s="37">
        <v>7</v>
      </c>
      <c r="X1" s="37">
        <v>8</v>
      </c>
      <c r="AC1" s="37">
        <v>9</v>
      </c>
      <c r="AJ1" s="37">
        <v>10</v>
      </c>
      <c r="AO1" s="63"/>
      <c r="AR1" s="63"/>
      <c r="AS1" s="63"/>
      <c r="AT1" s="63"/>
      <c r="AU1" s="63"/>
      <c r="AW1" s="63"/>
      <c r="AX1" s="63">
        <v>2</v>
      </c>
      <c r="AY1" s="63"/>
      <c r="AZ1" s="50">
        <v>36</v>
      </c>
      <c r="BA1" s="37">
        <v>2</v>
      </c>
      <c r="BB1" s="37">
        <v>3</v>
      </c>
      <c r="BC1" s="37">
        <v>42</v>
      </c>
      <c r="BE1" s="37">
        <v>43</v>
      </c>
      <c r="BF1" s="37">
        <v>40</v>
      </c>
      <c r="BG1" s="37">
        <v>41</v>
      </c>
      <c r="BH1" s="37">
        <v>4</v>
      </c>
      <c r="BI1" s="37">
        <v>9</v>
      </c>
      <c r="BJ1" s="37">
        <v>14</v>
      </c>
      <c r="BK1" s="37">
        <v>19</v>
      </c>
      <c r="BL1" s="37">
        <v>24</v>
      </c>
      <c r="BM1" s="37">
        <v>29</v>
      </c>
    </row>
    <row r="2" spans="2:65" ht="33">
      <c r="B2" s="64"/>
      <c r="C2" s="65"/>
      <c r="BA2" s="66"/>
      <c r="BB2" s="66"/>
      <c r="BC2" s="66"/>
      <c r="BD2" s="66"/>
      <c r="BE2" s="66"/>
      <c r="BF2" s="66"/>
      <c r="BG2" s="67" t="str">
        <f>'Auswertung Einzelspieler'!AE2</f>
        <v>NBV, Abt. 1, Bezirksliga II</v>
      </c>
      <c r="BH2" s="67"/>
      <c r="BI2" s="68"/>
      <c r="BJ2" s="68"/>
      <c r="BK2" s="68"/>
      <c r="BL2" s="68"/>
      <c r="BM2" s="69" t="str">
        <f>'Auswertung Einzelspieler'!AK2</f>
        <v>6. Spieltag, 27.06.04</v>
      </c>
    </row>
    <row r="3" spans="2:65" ht="12.75" customHeight="1">
      <c r="B3" s="64"/>
      <c r="C3" s="65"/>
      <c r="BA3" s="70"/>
      <c r="BB3" s="70"/>
      <c r="BC3" s="70"/>
      <c r="BD3" s="70"/>
      <c r="BE3" s="70"/>
      <c r="BF3" s="70"/>
      <c r="BG3" s="67"/>
      <c r="BH3" s="67"/>
      <c r="BI3" s="68"/>
      <c r="BJ3" s="68"/>
      <c r="BK3" s="68"/>
      <c r="BL3" s="68"/>
      <c r="BM3" s="68"/>
    </row>
    <row r="4" spans="2:65" ht="25.5" customHeight="1">
      <c r="B4" s="3" t="s">
        <v>0</v>
      </c>
      <c r="C4" s="3" t="s">
        <v>1</v>
      </c>
      <c r="D4" s="11" t="s">
        <v>21</v>
      </c>
      <c r="E4" s="11" t="s">
        <v>36</v>
      </c>
      <c r="F4" s="71" t="s">
        <v>66</v>
      </c>
      <c r="G4" s="71" t="s">
        <v>58</v>
      </c>
      <c r="H4" s="71" t="s">
        <v>59</v>
      </c>
      <c r="I4" s="11" t="s">
        <v>22</v>
      </c>
      <c r="J4" s="11" t="s">
        <v>36</v>
      </c>
      <c r="K4" s="71" t="s">
        <v>66</v>
      </c>
      <c r="L4" s="71" t="s">
        <v>58</v>
      </c>
      <c r="M4" s="71" t="s">
        <v>59</v>
      </c>
      <c r="N4" s="11" t="s">
        <v>23</v>
      </c>
      <c r="O4" s="11" t="s">
        <v>36</v>
      </c>
      <c r="P4" s="71" t="s">
        <v>66</v>
      </c>
      <c r="Q4" s="71" t="s">
        <v>58</v>
      </c>
      <c r="R4" s="71" t="s">
        <v>59</v>
      </c>
      <c r="S4" s="11" t="s">
        <v>24</v>
      </c>
      <c r="T4" s="11" t="s">
        <v>36</v>
      </c>
      <c r="U4" s="71" t="s">
        <v>66</v>
      </c>
      <c r="V4" s="71" t="s">
        <v>58</v>
      </c>
      <c r="W4" s="71" t="s">
        <v>59</v>
      </c>
      <c r="X4" s="11" t="s">
        <v>25</v>
      </c>
      <c r="Y4" s="11" t="s">
        <v>36</v>
      </c>
      <c r="Z4" s="71" t="s">
        <v>66</v>
      </c>
      <c r="AA4" s="71" t="s">
        <v>58</v>
      </c>
      <c r="AB4" s="71" t="s">
        <v>59</v>
      </c>
      <c r="AC4" s="11" t="s">
        <v>26</v>
      </c>
      <c r="AD4" s="11" t="s">
        <v>36</v>
      </c>
      <c r="AE4" s="71" t="s">
        <v>66</v>
      </c>
      <c r="AF4" s="71" t="s">
        <v>58</v>
      </c>
      <c r="AG4" s="71" t="s">
        <v>59</v>
      </c>
      <c r="AH4" s="71" t="s">
        <v>61</v>
      </c>
      <c r="AI4" s="11" t="s">
        <v>27</v>
      </c>
      <c r="AJ4" s="11" t="s">
        <v>94</v>
      </c>
      <c r="AK4" s="72" t="s">
        <v>35</v>
      </c>
      <c r="AL4" s="71" t="s">
        <v>34</v>
      </c>
      <c r="AM4" s="11" t="s">
        <v>20</v>
      </c>
      <c r="AN4" s="73" t="s">
        <v>61</v>
      </c>
      <c r="AO4" s="73" t="s">
        <v>43</v>
      </c>
      <c r="AP4" s="74" t="s">
        <v>76</v>
      </c>
      <c r="AQ4" s="74" t="s">
        <v>77</v>
      </c>
      <c r="AR4" s="71" t="s">
        <v>62</v>
      </c>
      <c r="AS4" s="71" t="s">
        <v>63</v>
      </c>
      <c r="AT4" s="71" t="s">
        <v>64</v>
      </c>
      <c r="AU4" s="72" t="s">
        <v>93</v>
      </c>
      <c r="AV4" s="71"/>
      <c r="AW4" s="11" t="s">
        <v>28</v>
      </c>
      <c r="AX4" s="11" t="s">
        <v>30</v>
      </c>
      <c r="AY4" s="64"/>
      <c r="AZ4" s="75" t="s">
        <v>92</v>
      </c>
      <c r="BA4" s="76" t="s">
        <v>75</v>
      </c>
      <c r="BB4" s="76" t="s">
        <v>1</v>
      </c>
      <c r="BC4" s="77" t="s">
        <v>60</v>
      </c>
      <c r="BD4" s="77"/>
      <c r="BE4" s="77"/>
      <c r="BF4" s="78" t="s">
        <v>61</v>
      </c>
      <c r="BG4" s="78" t="s">
        <v>43</v>
      </c>
      <c r="BH4" s="78" t="str">
        <f>'Eingabe Einzelspieler'!$A$128</f>
        <v>Witten-Herbede</v>
      </c>
      <c r="BI4" s="78" t="str">
        <f>'Eingabe Einzelspieler'!$A$129</f>
        <v>Uerdingen</v>
      </c>
      <c r="BJ4" s="78" t="str">
        <f>'Eingabe Einzelspieler'!$A$130</f>
        <v>Bo-Langendreer</v>
      </c>
      <c r="BK4" s="78" t="str">
        <f>'Eingabe Einzelspieler'!$A$131</f>
        <v>Wesel</v>
      </c>
      <c r="BL4" s="78" t="str">
        <f>'Eingabe Einzelspieler'!$A$132</f>
        <v>Neviges</v>
      </c>
      <c r="BM4" s="78" t="str">
        <f>'Eingabe Einzelspieler'!$A$133</f>
        <v>Ge-Bulmke</v>
      </c>
    </row>
    <row r="5" spans="2:65" ht="12.75">
      <c r="B5" s="64" t="s">
        <v>57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71"/>
      <c r="AL5" s="71"/>
      <c r="AM5" s="11"/>
      <c r="AN5" s="71"/>
      <c r="AO5" s="71"/>
      <c r="AP5" s="11"/>
      <c r="AQ5" s="11"/>
      <c r="AR5" s="71"/>
      <c r="AS5" s="71"/>
      <c r="AT5" s="71"/>
      <c r="AU5" s="71"/>
      <c r="AV5" s="71"/>
      <c r="AY5" s="64" t="str">
        <f>B5</f>
        <v>Herren- / Vereinsmannschaften</v>
      </c>
      <c r="AZ5" s="79"/>
      <c r="BA5" s="80"/>
      <c r="BB5" s="80"/>
      <c r="BC5" s="81"/>
      <c r="BD5" s="81"/>
      <c r="BE5" s="81"/>
      <c r="BF5" s="80"/>
      <c r="BG5" s="81"/>
      <c r="BH5" s="81"/>
      <c r="BI5" s="81"/>
      <c r="BJ5" s="81"/>
      <c r="BK5" s="81"/>
      <c r="BL5" s="81"/>
      <c r="BM5" s="81"/>
    </row>
    <row r="6" spans="1:65" ht="12.75">
      <c r="A6" s="52">
        <v>1</v>
      </c>
      <c r="B6" s="14" t="str">
        <f>VLOOKUP($A6,'Eingabe Mannschaften'!$K$2:$Q$28,6,FALSE)</f>
        <v>"AS" Witten 1</v>
      </c>
      <c r="C6" s="14" t="str">
        <f>VLOOKUP($A6,'Eingabe Mannschaften'!$K$2:$Q$28,7,FALSE)</f>
        <v>MGC "AS" Witten</v>
      </c>
      <c r="D6" s="10">
        <f>IF($B6="",0,VLOOKUP($B6,'Eingabe Mannschaften'!$A$2:$I$28,D$1,FALSE))</f>
        <v>567</v>
      </c>
      <c r="E6" s="10">
        <f>IF(D6=0,1,RANK(D6,D$6:D$10,0))</f>
        <v>5</v>
      </c>
      <c r="F6" s="10">
        <f>COUNTIF(E$6:E$10,E6)-1</f>
        <v>0</v>
      </c>
      <c r="G6" s="10">
        <f>IF(D6=0,0,((E6+F6-1)*2)-F6)</f>
        <v>8</v>
      </c>
      <c r="H6" s="10">
        <f>IF(D6=0,0,((COUNTIF(E$6:E$10,"&gt;0")-1)*2-G6))</f>
        <v>0</v>
      </c>
      <c r="I6" s="10">
        <f>IF($B6="",0,VLOOKUP($B6,'Eingabe Mannschaften'!$A$2:$I$28,I$1,FALSE))</f>
        <v>559</v>
      </c>
      <c r="J6" s="10">
        <f>IF(I6=0,1,RANK(I6,I$6:I$10,0))</f>
        <v>5</v>
      </c>
      <c r="K6" s="10">
        <f>COUNTIF(J$6:J$10,J6)-1</f>
        <v>0</v>
      </c>
      <c r="L6" s="10">
        <f>IF(I6=0,0,((J6+K6-1)*2)-K6)</f>
        <v>8</v>
      </c>
      <c r="M6" s="10">
        <f>IF(I6=0,0,((COUNTIF(J$6:J$10,"&gt;0")-1)*2-L6))</f>
        <v>0</v>
      </c>
      <c r="N6" s="10">
        <f>IF($B6="",0,VLOOKUP($B6,'Eingabe Mannschaften'!$A$2:$I$28,N$1,FALSE))</f>
        <v>531</v>
      </c>
      <c r="O6" s="10">
        <f>IF(N6=0,1,RANK(N6,N$6:N$10,0))</f>
        <v>5</v>
      </c>
      <c r="P6" s="10">
        <f>COUNTIF(O$6:O$10,O6)-1</f>
        <v>0</v>
      </c>
      <c r="Q6" s="10">
        <f>IF(N6=0,0,((O6+P6-1)*2)-P6)</f>
        <v>8</v>
      </c>
      <c r="R6" s="10">
        <f>IF(N6=0,0,((COUNTIF(O$6:O$10,"&gt;0")-1)*2-Q6))</f>
        <v>0</v>
      </c>
      <c r="S6" s="10">
        <f>IF($B6="",0,VLOOKUP($B6,'Eingabe Mannschaften'!$A$2:$I$28,S$1,FALSE))</f>
        <v>567</v>
      </c>
      <c r="T6" s="10">
        <f>IF(S6=0,1,RANK(S6,S$6:S$10,0))</f>
        <v>3</v>
      </c>
      <c r="U6" s="10">
        <f>COUNTIF(T$6:T$10,T6)-1</f>
        <v>0</v>
      </c>
      <c r="V6" s="10">
        <f>IF(S6=0,0,((T6+U6-1)*2)-U6)</f>
        <v>4</v>
      </c>
      <c r="W6" s="10">
        <f>IF(S6=0,0,((COUNTIF(T$6:T$10,"&gt;0")-1)*2-V6))</f>
        <v>4</v>
      </c>
      <c r="X6" s="10">
        <f>IF($B6="",0,VLOOKUP($B6,'Eingabe Mannschaften'!$A$2:$I$28,X$1,FALSE))</f>
        <v>545</v>
      </c>
      <c r="Y6" s="10">
        <f>IF(X6=0,1,RANK(X6,X$6:X$10,0))</f>
        <v>4</v>
      </c>
      <c r="Z6" s="10">
        <f>COUNTIF(Y$6:Y$10,Y6)-1</f>
        <v>0</v>
      </c>
      <c r="AA6" s="10">
        <f>IF(X6=0,0,((Y6+Z6-1)*2)-Z6)</f>
        <v>6</v>
      </c>
      <c r="AB6" s="10">
        <f>IF(X6=0,0,((COUNTIF(Y$6:Y$10,"&gt;0")-1)*2-AA6))</f>
        <v>2</v>
      </c>
      <c r="AC6" s="10">
        <f>IF($B6="",0,VLOOKUP($B6,'Eingabe Mannschaften'!$A$2:$I$28,AC$1,FALSE))</f>
        <v>541</v>
      </c>
      <c r="AD6" s="10">
        <f>IF(AC6=0,1,RANK(AC6,AC$6:AC$10,0))</f>
        <v>5</v>
      </c>
      <c r="AE6" s="10">
        <f>COUNTIF(AD$6:AD$10,AD6)-1</f>
        <v>0</v>
      </c>
      <c r="AF6" s="10">
        <f>IF(AC6=0,0,((AD6+AE6-1)*2)-AE6)</f>
        <v>8</v>
      </c>
      <c r="AG6" s="10">
        <f>IF(AC6=0,0,((COUNTIF(AD$6:AD$10,"&gt;0")-1)*2-AF6))</f>
        <v>0</v>
      </c>
      <c r="AH6" s="10">
        <f>SUM(D6,I6,N6,S6,X6,AC6)</f>
        <v>3310</v>
      </c>
      <c r="AI6" s="10">
        <f>SUM(COUNTIF(D6,"&gt;0")+COUNTIF(I6,"&gt;0")+COUNTIF(N6,"&gt;0")+COUNTIF(S6,"&gt;0")+COUNTIF(X6,"&gt;0")+COUNTIF(AC6,"&gt;0"))</f>
        <v>6</v>
      </c>
      <c r="AJ6" s="10">
        <f>IF($B6="",0,VLOOKUP($B6,'Eingabe Mannschaften'!$A$2:$J$28,AJ$1,FALSE))</f>
        <v>0</v>
      </c>
      <c r="AK6" s="10">
        <f>IF(('Eingabe Mannschaften'!$I$29)&gt;AI6,1,"")</f>
      </c>
      <c r="AL6" s="12"/>
      <c r="AM6" s="12"/>
      <c r="AN6" s="10">
        <f>IF(AK6=1,"ADW",IF(AL6=1,SUM(AH6-AM6),AH6))</f>
        <v>3310</v>
      </c>
      <c r="AO6" s="82">
        <f>IF(AK6=1,0,AN6/(AI6)/18)</f>
        <v>30.648148148148145</v>
      </c>
      <c r="AP6" s="10">
        <f aca="true" t="shared" si="0" ref="AP6:AQ10">SUM(G6,L6,Q6,V6,AA6,AF6)</f>
        <v>42</v>
      </c>
      <c r="AQ6" s="10">
        <f t="shared" si="0"/>
        <v>6</v>
      </c>
      <c r="AR6" s="83">
        <f>RANK(AP6,$AP$6:$AP$10,0)</f>
        <v>1</v>
      </c>
      <c r="AS6" s="83">
        <f>RANK(AN6,AN$6:AN$10,1)</f>
        <v>1</v>
      </c>
      <c r="AT6" s="83">
        <f>COUNTIF(AS$6:AS6,AS6)</f>
        <v>1</v>
      </c>
      <c r="AU6" s="83">
        <f>AR6*1000+AS6*100+AJ6*10+AT6</f>
        <v>1101</v>
      </c>
      <c r="AV6" s="34">
        <f>A6</f>
        <v>1</v>
      </c>
      <c r="AW6" s="83">
        <f>SMALL(AU$6:AU$10,A6)</f>
        <v>1101</v>
      </c>
      <c r="AX6" s="83">
        <f>VLOOKUP(AW6,AU$6:AV$10,$AX$1,FALSE)</f>
        <v>1</v>
      </c>
      <c r="AY6" s="12">
        <f>A6</f>
        <v>1</v>
      </c>
      <c r="AZ6" s="50">
        <f>IF(VLOOKUP($AX6,$A$6:$AX$10,AZ$1,FALSE),"x",0)</f>
        <v>0</v>
      </c>
      <c r="BA6" s="101" t="str">
        <f aca="true" t="shared" si="1" ref="BA6:BC10">VLOOKUP($AX6,$A$6:$AX$10,BA$1,FALSE)</f>
        <v>"AS" Witten 1</v>
      </c>
      <c r="BB6" s="101" t="str">
        <f t="shared" si="1"/>
        <v>MGC "AS" Witten</v>
      </c>
      <c r="BC6" s="102">
        <f t="shared" si="1"/>
        <v>42</v>
      </c>
      <c r="BD6" s="103" t="s">
        <v>65</v>
      </c>
      <c r="BE6" s="102">
        <f aca="true" t="shared" si="2" ref="BE6:BM10">VLOOKUP($AX6,$A$6:$AX$10,BE$1,FALSE)</f>
        <v>6</v>
      </c>
      <c r="BF6" s="104">
        <f t="shared" si="2"/>
        <v>3310</v>
      </c>
      <c r="BG6" s="56">
        <f t="shared" si="2"/>
        <v>30.648148148148145</v>
      </c>
      <c r="BH6" s="12">
        <f t="shared" si="2"/>
        <v>567</v>
      </c>
      <c r="BI6" s="12">
        <f t="shared" si="2"/>
        <v>559</v>
      </c>
      <c r="BJ6" s="12">
        <f t="shared" si="2"/>
        <v>531</v>
      </c>
      <c r="BK6" s="12">
        <f t="shared" si="2"/>
        <v>567</v>
      </c>
      <c r="BL6" s="12">
        <f t="shared" si="2"/>
        <v>545</v>
      </c>
      <c r="BM6" s="12">
        <f t="shared" si="2"/>
        <v>541</v>
      </c>
    </row>
    <row r="7" spans="1:65" ht="12.75">
      <c r="A7" s="52">
        <v>2</v>
      </c>
      <c r="B7" s="14" t="str">
        <f>VLOOKUP($A7,'Eingabe Mannschaften'!$K$2:$Q$28,6,FALSE)</f>
        <v>Gelsenkirchen 1</v>
      </c>
      <c r="C7" s="14" t="str">
        <f>VLOOKUP($A7,'Eingabe Mannschaften'!$K$2:$Q$28,7,FALSE)</f>
        <v>1. MGC Gelsenkirchen</v>
      </c>
      <c r="D7" s="10">
        <f>IF($B7="",0,VLOOKUP($B7,'Eingabe Mannschaften'!$A$2:$I$28,D$1,FALSE))</f>
        <v>597</v>
      </c>
      <c r="E7" s="10">
        <f>IF(D7=0,1,RANK(D7,D$6:D$10,0))</f>
        <v>4</v>
      </c>
      <c r="F7" s="10">
        <f>COUNTIF(E$6:E$10,E7)-1</f>
        <v>0</v>
      </c>
      <c r="G7" s="10">
        <f>IF(D7=0,0,((E7+F7-1)*2)-F7)</f>
        <v>6</v>
      </c>
      <c r="H7" s="10">
        <f>IF(D7=0,0,((COUNTIF(E$6:E$10,"&gt;0")-1)*2-G7))</f>
        <v>2</v>
      </c>
      <c r="I7" s="10">
        <f>IF($B7="",0,VLOOKUP($B7,'Eingabe Mannschaften'!$A$2:$I$28,I$1,FALSE))</f>
        <v>560</v>
      </c>
      <c r="J7" s="10">
        <f>IF(I7=0,1,RANK(I7,I$6:I$10,0))</f>
        <v>4</v>
      </c>
      <c r="K7" s="10">
        <f>COUNTIF(J$6:J$10,J7)-1</f>
        <v>0</v>
      </c>
      <c r="L7" s="10">
        <f>IF(I7=0,0,((J7+K7-1)*2)-K7)</f>
        <v>6</v>
      </c>
      <c r="M7" s="10">
        <f>IF(I7=0,0,((COUNTIF(J$6:J$10,"&gt;0")-1)*2-L7))</f>
        <v>2</v>
      </c>
      <c r="N7" s="10">
        <f>IF($B7="",0,VLOOKUP($B7,'Eingabe Mannschaften'!$A$2:$I$28,N$1,FALSE))</f>
        <v>561</v>
      </c>
      <c r="O7" s="10">
        <f>IF(N7=0,1,RANK(N7,N$6:N$10,0))</f>
        <v>2</v>
      </c>
      <c r="P7" s="10">
        <f>COUNTIF(O$6:O$10,O7)-1</f>
        <v>1</v>
      </c>
      <c r="Q7" s="10">
        <f>IF(N7=0,0,((O7+P7-1)*2)-P7)</f>
        <v>3</v>
      </c>
      <c r="R7" s="10">
        <f>IF(N7=0,0,((COUNTIF(O$6:O$10,"&gt;0")-1)*2-Q7))</f>
        <v>5</v>
      </c>
      <c r="S7" s="10">
        <f>IF($B7="",0,VLOOKUP($B7,'Eingabe Mannschaften'!$A$2:$I$28,S$1,FALSE))</f>
        <v>561</v>
      </c>
      <c r="T7" s="10">
        <f>IF(S7=0,1,RANK(S7,S$6:S$10,0))</f>
        <v>4</v>
      </c>
      <c r="U7" s="10">
        <f>COUNTIF(T$6:T$10,T7)-1</f>
        <v>0</v>
      </c>
      <c r="V7" s="10">
        <f>IF(S7=0,0,((T7+U7-1)*2)-U7)</f>
        <v>6</v>
      </c>
      <c r="W7" s="10">
        <f>IF(S7=0,0,((COUNTIF(T$6:T$10,"&gt;0")-1)*2-V7))</f>
        <v>2</v>
      </c>
      <c r="X7" s="10">
        <f>IF($B7="",0,VLOOKUP($B7,'Eingabe Mannschaften'!$A$2:$I$28,X$1,FALSE))</f>
        <v>591</v>
      </c>
      <c r="Y7" s="10">
        <f>IF(X7=0,1,RANK(X7,X$6:X$10,0))</f>
        <v>3</v>
      </c>
      <c r="Z7" s="10">
        <f>COUNTIF(Y$6:Y$10,Y7)-1</f>
        <v>0</v>
      </c>
      <c r="AA7" s="10">
        <f>IF(X7=0,0,((Y7+Z7-1)*2)-Z7)</f>
        <v>4</v>
      </c>
      <c r="AB7" s="10">
        <f>IF(X7=0,0,((COUNTIF(Y$6:Y$10,"&gt;0")-1)*2-AA7))</f>
        <v>4</v>
      </c>
      <c r="AC7" s="10">
        <f>IF($B7="",0,VLOOKUP($B7,'Eingabe Mannschaften'!$A$2:$I$28,AC$1,FALSE))</f>
        <v>560</v>
      </c>
      <c r="AD7" s="10">
        <f>IF(AC7=0,1,RANK(AC7,AC$6:AC$10,0))</f>
        <v>4</v>
      </c>
      <c r="AE7" s="10">
        <f>COUNTIF(AD$6:AD$10,AD7)-1</f>
        <v>0</v>
      </c>
      <c r="AF7" s="10">
        <f>IF(AC7=0,0,((AD7+AE7-1)*2)-AE7)</f>
        <v>6</v>
      </c>
      <c r="AG7" s="10">
        <f>IF(AC7=0,0,((COUNTIF(AD$6:AD$10,"&gt;0")-1)*2-AF7))</f>
        <v>2</v>
      </c>
      <c r="AH7" s="10">
        <f>SUM(D7,I7,N7,S7,X7,AC7)</f>
        <v>3430</v>
      </c>
      <c r="AI7" s="10">
        <f>SUM(COUNTIF(D7,"&gt;0")+COUNTIF(I7,"&gt;0")+COUNTIF(N7,"&gt;0")+COUNTIF(S7,"&gt;0")+COUNTIF(X7,"&gt;0")+COUNTIF(AC7,"&gt;0"))</f>
        <v>6</v>
      </c>
      <c r="AJ7" s="10">
        <f>IF($B7="",0,VLOOKUP($B7,'Eingabe Mannschaften'!$A$2:$J$28,AJ$1,FALSE))</f>
        <v>0</v>
      </c>
      <c r="AK7" s="10">
        <f>IF(('Eingabe Mannschaften'!$I$29)&gt;AI7,1,"")</f>
      </c>
      <c r="AL7" s="12"/>
      <c r="AM7" s="12"/>
      <c r="AN7" s="10">
        <f>IF(AK7=1,"ADW",IF(AL7=1,SUM(AH7-AM7),AH7))</f>
        <v>3430</v>
      </c>
      <c r="AO7" s="82">
        <f>IF(AK7=1,0,AN7/(AI7)/18)</f>
        <v>31.759259259259256</v>
      </c>
      <c r="AP7" s="10">
        <f t="shared" si="0"/>
        <v>31</v>
      </c>
      <c r="AQ7" s="10">
        <f t="shared" si="0"/>
        <v>17</v>
      </c>
      <c r="AR7" s="83">
        <f>RANK(AP7,$AP$6:$AP$10,0)</f>
        <v>2</v>
      </c>
      <c r="AS7" s="83">
        <f>RANK(AN7,AN$6:AN$10,1)</f>
        <v>2</v>
      </c>
      <c r="AT7" s="83">
        <f>COUNTIF(AS$6:AS7,AS7)</f>
        <v>1</v>
      </c>
      <c r="AU7" s="83">
        <f>AR7*1000+AS7*100+AJ7*10+AT7</f>
        <v>2201</v>
      </c>
      <c r="AV7" s="34">
        <f>A7</f>
        <v>2</v>
      </c>
      <c r="AW7" s="83">
        <f>SMALL(AU$6:AU$10,A7)</f>
        <v>2201</v>
      </c>
      <c r="AX7" s="83">
        <f>VLOOKUP(AW7,AU$6:AV$10,$AX$1,FALSE)</f>
        <v>2</v>
      </c>
      <c r="AY7" s="12">
        <f>A7</f>
        <v>2</v>
      </c>
      <c r="AZ7" s="50">
        <f>IF(VLOOKUP($AX7,$A$6:$AX$10,AZ$1,FALSE),"x",0)</f>
        <v>0</v>
      </c>
      <c r="BA7" s="52" t="str">
        <f t="shared" si="1"/>
        <v>Gelsenkirchen 1</v>
      </c>
      <c r="BB7" s="52" t="str">
        <f t="shared" si="1"/>
        <v>1. MGC Gelsenkirchen</v>
      </c>
      <c r="BC7" s="12">
        <f t="shared" si="1"/>
        <v>31</v>
      </c>
      <c r="BD7" s="54" t="s">
        <v>65</v>
      </c>
      <c r="BE7" s="12">
        <f t="shared" si="2"/>
        <v>17</v>
      </c>
      <c r="BF7" s="55">
        <f t="shared" si="2"/>
        <v>3430</v>
      </c>
      <c r="BG7" s="56">
        <f t="shared" si="2"/>
        <v>31.759259259259256</v>
      </c>
      <c r="BH7" s="12">
        <f t="shared" si="2"/>
        <v>597</v>
      </c>
      <c r="BI7" s="12">
        <f t="shared" si="2"/>
        <v>560</v>
      </c>
      <c r="BJ7" s="12">
        <f t="shared" si="2"/>
        <v>561</v>
      </c>
      <c r="BK7" s="12">
        <f t="shared" si="2"/>
        <v>561</v>
      </c>
      <c r="BL7" s="12">
        <f t="shared" si="2"/>
        <v>591</v>
      </c>
      <c r="BM7" s="12">
        <f t="shared" si="2"/>
        <v>560</v>
      </c>
    </row>
    <row r="8" spans="1:65" ht="12.75">
      <c r="A8" s="52">
        <v>3</v>
      </c>
      <c r="B8" s="14" t="str">
        <f>VLOOKUP($A8,'Eingabe Mannschaften'!$K$2:$Q$28,6,FALSE)</f>
        <v>Wesel 1</v>
      </c>
      <c r="C8" s="14" t="str">
        <f>VLOOKUP($A8,'Eingabe Mannschaften'!$K$2:$Q$28,7,FALSE)</f>
        <v>1.MSC Wesel</v>
      </c>
      <c r="D8" s="10">
        <f>IF($B8="",0,VLOOKUP($B8,'Eingabe Mannschaften'!$A$2:$I$28,D$1,FALSE))</f>
        <v>629</v>
      </c>
      <c r="E8" s="10">
        <f>IF(D8=0,1,RANK(D8,D$6:D$10,0))</f>
        <v>2</v>
      </c>
      <c r="F8" s="10">
        <f>COUNTIF(E$6:E$10,E8)-1</f>
        <v>0</v>
      </c>
      <c r="G8" s="10">
        <f>IF(D8=0,0,((E8+F8-1)*2)-F8)</f>
        <v>2</v>
      </c>
      <c r="H8" s="10">
        <f>IF(D8=0,0,((COUNTIF(E$6:E$10,"&gt;0")-1)*2-G8))</f>
        <v>6</v>
      </c>
      <c r="I8" s="10">
        <f>IF($B8="",0,VLOOKUP($B8,'Eingabe Mannschaften'!$A$2:$I$28,I$1,FALSE))</f>
        <v>585</v>
      </c>
      <c r="J8" s="10">
        <f>IF(I8=0,1,RANK(I8,I$6:I$10,0))</f>
        <v>2</v>
      </c>
      <c r="K8" s="10">
        <f>COUNTIF(J$6:J$10,J8)-1</f>
        <v>0</v>
      </c>
      <c r="L8" s="10">
        <f>IF(I8=0,0,((J8+K8-1)*2)-K8)</f>
        <v>2</v>
      </c>
      <c r="M8" s="10">
        <f>IF(I8=0,0,((COUNTIF(J$6:J$10,"&gt;0")-1)*2-L8))</f>
        <v>6</v>
      </c>
      <c r="N8" s="10">
        <f>IF($B8="",0,VLOOKUP($B8,'Eingabe Mannschaften'!$A$2:$I$28,N$1,FALSE))</f>
        <v>559</v>
      </c>
      <c r="O8" s="10">
        <f>IF(N8=0,1,RANK(N8,N$6:N$10,0))</f>
        <v>4</v>
      </c>
      <c r="P8" s="10">
        <f>COUNTIF(O$6:O$10,O8)-1</f>
        <v>0</v>
      </c>
      <c r="Q8" s="10">
        <f>IF(N8=0,0,((O8+P8-1)*2)-P8)</f>
        <v>6</v>
      </c>
      <c r="R8" s="10">
        <f>IF(N8=0,0,((COUNTIF(O$6:O$10,"&gt;0")-1)*2-Q8))</f>
        <v>2</v>
      </c>
      <c r="S8" s="10">
        <f>IF($B8="",0,VLOOKUP($B8,'Eingabe Mannschaften'!$A$2:$I$28,S$1,FALSE))</f>
        <v>546</v>
      </c>
      <c r="T8" s="10">
        <f>IF(S8=0,1,RANK(S8,S$6:S$10,0))</f>
        <v>5</v>
      </c>
      <c r="U8" s="10">
        <f>COUNTIF(T$6:T$10,T8)-1</f>
        <v>0</v>
      </c>
      <c r="V8" s="10">
        <f>IF(S8=0,0,((T8+U8-1)*2)-U8)</f>
        <v>8</v>
      </c>
      <c r="W8" s="10">
        <f>IF(S8=0,0,((COUNTIF(T$6:T$10,"&gt;0")-1)*2-V8))</f>
        <v>0</v>
      </c>
      <c r="X8" s="10">
        <f>IF($B8="",0,VLOOKUP($B8,'Eingabe Mannschaften'!$A$2:$I$28,X$1,FALSE))</f>
        <v>612</v>
      </c>
      <c r="Y8" s="10">
        <f>IF(X8=0,1,RANK(X8,X$6:X$10,0))</f>
        <v>2</v>
      </c>
      <c r="Z8" s="10">
        <f>COUNTIF(Y$6:Y$10,Y8)-1</f>
        <v>0</v>
      </c>
      <c r="AA8" s="10">
        <f>IF(X8=0,0,((Y8+Z8-1)*2)-Z8)</f>
        <v>2</v>
      </c>
      <c r="AB8" s="10">
        <f>IF(X8=0,0,((COUNTIF(Y$6:Y$10,"&gt;0")-1)*2-AA8))</f>
        <v>6</v>
      </c>
      <c r="AC8" s="10">
        <f>IF($B8="",0,VLOOKUP($B8,'Eingabe Mannschaften'!$A$2:$I$28,AC$1,FALSE))</f>
        <v>578</v>
      </c>
      <c r="AD8" s="10">
        <f>IF(AC8=0,1,RANK(AC8,AC$6:AC$10,0))</f>
        <v>2</v>
      </c>
      <c r="AE8" s="10">
        <f>COUNTIF(AD$6:AD$10,AD8)-1</f>
        <v>1</v>
      </c>
      <c r="AF8" s="10">
        <f>IF(AC8=0,0,((AD8+AE8-1)*2)-AE8)</f>
        <v>3</v>
      </c>
      <c r="AG8" s="10">
        <f>IF(AC8=0,0,((COUNTIF(AD$6:AD$10,"&gt;0")-1)*2-AF8))</f>
        <v>5</v>
      </c>
      <c r="AH8" s="10">
        <f>SUM(D8,I8,N8,S8,X8,AC8)</f>
        <v>3509</v>
      </c>
      <c r="AI8" s="10">
        <f>SUM(COUNTIF(D8,"&gt;0")+COUNTIF(I8,"&gt;0")+COUNTIF(N8,"&gt;0")+COUNTIF(S8,"&gt;0")+COUNTIF(X8,"&gt;0")+COUNTIF(AC8,"&gt;0"))</f>
        <v>6</v>
      </c>
      <c r="AJ8" s="10">
        <f>IF($B8="",0,VLOOKUP($B8,'Eingabe Mannschaften'!$A$2:$J$28,AJ$1,FALSE))</f>
        <v>0</v>
      </c>
      <c r="AK8" s="10">
        <f>IF(('Eingabe Mannschaften'!$I$29)&gt;AI8,1,"")</f>
      </c>
      <c r="AL8" s="12"/>
      <c r="AM8" s="12"/>
      <c r="AN8" s="10">
        <f>IF(AK8=1,"ADW",IF(AL8=1,SUM(AH8-AM8),AH8))</f>
        <v>3509</v>
      </c>
      <c r="AO8" s="82">
        <f>IF(AK8=1,0,AN8/(AI8)/18)</f>
        <v>32.49074074074074</v>
      </c>
      <c r="AP8" s="10">
        <f t="shared" si="0"/>
        <v>23</v>
      </c>
      <c r="AQ8" s="10">
        <f t="shared" si="0"/>
        <v>25</v>
      </c>
      <c r="AR8" s="83">
        <f>RANK(AP8,$AP$6:$AP$10,0)</f>
        <v>3</v>
      </c>
      <c r="AS8" s="83">
        <f>RANK(AN8,AN$6:AN$10,1)</f>
        <v>4</v>
      </c>
      <c r="AT8" s="83">
        <f>COUNTIF(AS$6:AS8,AS8)</f>
        <v>1</v>
      </c>
      <c r="AU8" s="83">
        <f>AR8*1000+AS8*100+AJ8*10+AT8</f>
        <v>3401</v>
      </c>
      <c r="AV8" s="34">
        <f>A8</f>
        <v>3</v>
      </c>
      <c r="AW8" s="83">
        <f>SMALL(AU$6:AU$10,A8)</f>
        <v>3401</v>
      </c>
      <c r="AX8" s="83">
        <f>VLOOKUP(AW8,AU$6:AV$10,$AX$1,FALSE)</f>
        <v>3</v>
      </c>
      <c r="AY8" s="12">
        <f>A8</f>
        <v>3</v>
      </c>
      <c r="AZ8" s="50">
        <f>IF(VLOOKUP($AX8,$A$6:$AX$10,AZ$1,FALSE),"x",0)</f>
        <v>0</v>
      </c>
      <c r="BA8" s="52" t="str">
        <f t="shared" si="1"/>
        <v>Wesel 1</v>
      </c>
      <c r="BB8" s="52" t="str">
        <f t="shared" si="1"/>
        <v>1.MSC Wesel</v>
      </c>
      <c r="BC8" s="12">
        <f t="shared" si="1"/>
        <v>23</v>
      </c>
      <c r="BD8" s="54" t="s">
        <v>65</v>
      </c>
      <c r="BE8" s="12">
        <f t="shared" si="2"/>
        <v>25</v>
      </c>
      <c r="BF8" s="55">
        <f t="shared" si="2"/>
        <v>3509</v>
      </c>
      <c r="BG8" s="56">
        <f t="shared" si="2"/>
        <v>32.49074074074074</v>
      </c>
      <c r="BH8" s="12">
        <f t="shared" si="2"/>
        <v>629</v>
      </c>
      <c r="BI8" s="12">
        <f t="shared" si="2"/>
        <v>585</v>
      </c>
      <c r="BJ8" s="12">
        <f t="shared" si="2"/>
        <v>559</v>
      </c>
      <c r="BK8" s="12">
        <f t="shared" si="2"/>
        <v>546</v>
      </c>
      <c r="BL8" s="12">
        <f t="shared" si="2"/>
        <v>612</v>
      </c>
      <c r="BM8" s="12">
        <f t="shared" si="2"/>
        <v>578</v>
      </c>
    </row>
    <row r="9" spans="1:65" ht="12.75">
      <c r="A9" s="52">
        <v>4</v>
      </c>
      <c r="B9" s="14" t="str">
        <f>VLOOKUP($A9,'Eingabe Mannschaften'!$K$2:$Q$28,6,FALSE)</f>
        <v>Neviges 1</v>
      </c>
      <c r="C9" s="14" t="str">
        <f>VLOOKUP($A9,'Eingabe Mannschaften'!$K$2:$Q$28,7,FALSE)</f>
        <v>MGC Neviges</v>
      </c>
      <c r="D9" s="10">
        <f>IF($B9="",0,VLOOKUP($B9,'Eingabe Mannschaften'!$A$2:$I$28,D$1,FALSE))</f>
        <v>633</v>
      </c>
      <c r="E9" s="10">
        <f>IF(D9=0,1,RANK(D9,D$6:D$10,0))</f>
        <v>1</v>
      </c>
      <c r="F9" s="10">
        <f>COUNTIF(E$6:E$10,E9)-1</f>
        <v>0</v>
      </c>
      <c r="G9" s="10">
        <f>IF(D9=0,0,((E9+F9-1)*2)-F9)</f>
        <v>0</v>
      </c>
      <c r="H9" s="10">
        <f>IF(D9=0,0,((COUNTIF(E$6:E$10,"&gt;0")-1)*2-G9))</f>
        <v>8</v>
      </c>
      <c r="I9" s="10">
        <f>IF($B9="",0,VLOOKUP($B9,'Eingabe Mannschaften'!$A$2:$I$28,I$1,FALSE))</f>
        <v>591</v>
      </c>
      <c r="J9" s="10">
        <f>IF(I9=0,1,RANK(I9,I$6:I$10,0))</f>
        <v>1</v>
      </c>
      <c r="K9" s="10">
        <f>COUNTIF(J$6:J$10,J9)-1</f>
        <v>0</v>
      </c>
      <c r="L9" s="10">
        <f>IF(I9=0,0,((J9+K9-1)*2)-K9)</f>
        <v>0</v>
      </c>
      <c r="M9" s="10">
        <f>IF(I9=0,0,((COUNTIF(J$6:J$10,"&gt;0")-1)*2-L9))</f>
        <v>8</v>
      </c>
      <c r="N9" s="10">
        <f>IF($B9="",0,VLOOKUP($B9,'Eingabe Mannschaften'!$A$2:$I$28,N$1,FALSE))</f>
        <v>561</v>
      </c>
      <c r="O9" s="10">
        <f>IF(N9=0,1,RANK(N9,N$6:N$10,0))</f>
        <v>2</v>
      </c>
      <c r="P9" s="10">
        <f>COUNTIF(O$6:O$10,O9)-1</f>
        <v>1</v>
      </c>
      <c r="Q9" s="10">
        <f>IF(N9=0,0,((O9+P9-1)*2)-P9)</f>
        <v>3</v>
      </c>
      <c r="R9" s="10">
        <f>IF(N9=0,0,((COUNTIF(O$6:O$10,"&gt;0")-1)*2-Q9))</f>
        <v>5</v>
      </c>
      <c r="S9" s="10">
        <f>IF($B9="",0,VLOOKUP($B9,'Eingabe Mannschaften'!$A$2:$I$28,S$1,FALSE))</f>
        <v>593</v>
      </c>
      <c r="T9" s="10">
        <f>IF(S9=0,1,RANK(S9,S$6:S$10,0))</f>
        <v>1</v>
      </c>
      <c r="U9" s="10">
        <f>COUNTIF(T$6:T$10,T9)-1</f>
        <v>0</v>
      </c>
      <c r="V9" s="10">
        <f>IF(S9=0,0,((T9+U9-1)*2)-U9)</f>
        <v>0</v>
      </c>
      <c r="W9" s="10">
        <f>IF(S9=0,0,((COUNTIF(T$6:T$10,"&gt;0")-1)*2-V9))</f>
        <v>8</v>
      </c>
      <c r="X9" s="10">
        <f>IF($B9="",0,VLOOKUP($B9,'Eingabe Mannschaften'!$A$2:$I$28,X$1,FALSE))</f>
        <v>540</v>
      </c>
      <c r="Y9" s="10">
        <f>IF(X9=0,1,RANK(X9,X$6:X$10,0))</f>
        <v>5</v>
      </c>
      <c r="Z9" s="10">
        <f>COUNTIF(Y$6:Y$10,Y9)-1</f>
        <v>0</v>
      </c>
      <c r="AA9" s="10">
        <f>IF(X9=0,0,((Y9+Z9-1)*2)-Z9)</f>
        <v>8</v>
      </c>
      <c r="AB9" s="10">
        <f>IF(X9=0,0,((COUNTIF(Y$6:Y$10,"&gt;0")-1)*2-AA9))</f>
        <v>0</v>
      </c>
      <c r="AC9" s="10">
        <f>IF($B9="",0,VLOOKUP($B9,'Eingabe Mannschaften'!$A$2:$I$28,AC$1,FALSE))</f>
        <v>578</v>
      </c>
      <c r="AD9" s="10">
        <f>IF(AC9=0,1,RANK(AC9,AC$6:AC$10,0))</f>
        <v>2</v>
      </c>
      <c r="AE9" s="10">
        <f>COUNTIF(AD$6:AD$10,AD9)-1</f>
        <v>1</v>
      </c>
      <c r="AF9" s="10">
        <f>IF(AC9=0,0,((AD9+AE9-1)*2)-AE9)</f>
        <v>3</v>
      </c>
      <c r="AG9" s="10">
        <f>IF(AC9=0,0,((COUNTIF(AD$6:AD$10,"&gt;0")-1)*2-AF9))</f>
        <v>5</v>
      </c>
      <c r="AH9" s="10">
        <f>SUM(D9,I9,N9,S9,X9,AC9)</f>
        <v>3496</v>
      </c>
      <c r="AI9" s="10">
        <f>SUM(COUNTIF(D9,"&gt;0")+COUNTIF(I9,"&gt;0")+COUNTIF(N9,"&gt;0")+COUNTIF(S9,"&gt;0")+COUNTIF(X9,"&gt;0")+COUNTIF(AC9,"&gt;0"))</f>
        <v>6</v>
      </c>
      <c r="AJ9" s="10">
        <f>IF($B9="",0,VLOOKUP($B9,'Eingabe Mannschaften'!$A$2:$J$28,AJ$1,FALSE))</f>
        <v>0</v>
      </c>
      <c r="AK9" s="10">
        <f>IF(('Eingabe Mannschaften'!$I$29)&gt;AI9,1,"")</f>
      </c>
      <c r="AL9" s="12"/>
      <c r="AM9" s="12"/>
      <c r="AN9" s="10">
        <f>IF(AK9=1,"ADW",IF(AL9=1,SUM(AH9-AM9),AH9))</f>
        <v>3496</v>
      </c>
      <c r="AO9" s="82">
        <f>IF(AK9=1,0,AN9/(AI9)/18)</f>
        <v>32.37037037037037</v>
      </c>
      <c r="AP9" s="10">
        <f t="shared" si="0"/>
        <v>14</v>
      </c>
      <c r="AQ9" s="10">
        <f t="shared" si="0"/>
        <v>34</v>
      </c>
      <c r="AR9" s="83">
        <f>RANK(AP9,$AP$6:$AP$10,0)</f>
        <v>4</v>
      </c>
      <c r="AS9" s="83">
        <f>RANK(AN9,AN$6:AN$10,1)</f>
        <v>3</v>
      </c>
      <c r="AT9" s="83">
        <f>COUNTIF(AS$6:AS9,AS9)</f>
        <v>1</v>
      </c>
      <c r="AU9" s="83">
        <f>AR9*1000+AS9*100+AJ9*10+AT9</f>
        <v>4301</v>
      </c>
      <c r="AV9" s="34">
        <f>A9</f>
        <v>4</v>
      </c>
      <c r="AW9" s="83">
        <f>SMALL(AU$6:AU$10,A9)</f>
        <v>4301</v>
      </c>
      <c r="AX9" s="83">
        <f>VLOOKUP(AW9,AU$6:AV$10,$AX$1,FALSE)</f>
        <v>4</v>
      </c>
      <c r="AY9" s="12">
        <f>A9</f>
        <v>4</v>
      </c>
      <c r="AZ9" s="50">
        <f>IF(VLOOKUP($AX9,$A$6:$AX$10,AZ$1,FALSE),"x",0)</f>
        <v>0</v>
      </c>
      <c r="BA9" s="52" t="str">
        <f t="shared" si="1"/>
        <v>Neviges 1</v>
      </c>
      <c r="BB9" s="52" t="str">
        <f t="shared" si="1"/>
        <v>MGC Neviges</v>
      </c>
      <c r="BC9" s="12">
        <f t="shared" si="1"/>
        <v>14</v>
      </c>
      <c r="BD9" s="54" t="s">
        <v>65</v>
      </c>
      <c r="BE9" s="12">
        <f t="shared" si="2"/>
        <v>34</v>
      </c>
      <c r="BF9" s="55">
        <f t="shared" si="2"/>
        <v>3496</v>
      </c>
      <c r="BG9" s="56">
        <f t="shared" si="2"/>
        <v>32.37037037037037</v>
      </c>
      <c r="BH9" s="12">
        <f t="shared" si="2"/>
        <v>633</v>
      </c>
      <c r="BI9" s="12">
        <f t="shared" si="2"/>
        <v>591</v>
      </c>
      <c r="BJ9" s="12">
        <f t="shared" si="2"/>
        <v>561</v>
      </c>
      <c r="BK9" s="12">
        <f t="shared" si="2"/>
        <v>593</v>
      </c>
      <c r="BL9" s="12">
        <f t="shared" si="2"/>
        <v>540</v>
      </c>
      <c r="BM9" s="12">
        <f t="shared" si="2"/>
        <v>578</v>
      </c>
    </row>
    <row r="10" spans="1:65" ht="12.75">
      <c r="A10" s="27">
        <v>5</v>
      </c>
      <c r="B10" s="84" t="str">
        <f>VLOOKUP($A10,'Eingabe Mannschaften'!$K$2:$Q$28,6,FALSE)</f>
        <v>Uerdingen 1</v>
      </c>
      <c r="C10" s="36" t="str">
        <f>VLOOKUP($A10,'Eingabe Mannschaften'!$K$2:$Q$28,7,FALSE)</f>
        <v>BGC Uerdingen</v>
      </c>
      <c r="D10" s="15">
        <f>IF($B10="",0,VLOOKUP($B10,'Eingabe Mannschaften'!$A$2:$I$28,D$1,FALSE))</f>
        <v>626</v>
      </c>
      <c r="E10" s="15">
        <f>IF(D10=0,1,RANK(D10,D$6:D$10,0))</f>
        <v>3</v>
      </c>
      <c r="F10" s="15">
        <f>COUNTIF(E$6:E$10,E10)-1</f>
        <v>0</v>
      </c>
      <c r="G10" s="15">
        <f>IF(D10=0,0,((E10+F10-1)*2)-F10)</f>
        <v>4</v>
      </c>
      <c r="H10" s="15">
        <f>IF(D10=0,0,((COUNTIF(E$6:E$10,"&gt;0")-1)*2-G10))</f>
        <v>4</v>
      </c>
      <c r="I10" s="15">
        <f>IF($B10="",0,VLOOKUP($B10,'Eingabe Mannschaften'!$A$2:$I$28,I$1,FALSE))</f>
        <v>570</v>
      </c>
      <c r="J10" s="10">
        <f>IF(I10=0,1,RANK(I10,I$6:I$10,0))</f>
        <v>3</v>
      </c>
      <c r="K10" s="10">
        <f>COUNTIF(J$6:J$10,J10)-1</f>
        <v>0</v>
      </c>
      <c r="L10" s="10">
        <f>IF(I10=0,0,((J10+K10-1)*2)-K10)</f>
        <v>4</v>
      </c>
      <c r="M10" s="10">
        <f>IF(I10=0,0,((COUNTIF(J$6:J$10,"&gt;0")-1)*2-L10))</f>
        <v>4</v>
      </c>
      <c r="N10" s="10">
        <f>IF($B10="",0,VLOOKUP($B10,'Eingabe Mannschaften'!$A$2:$I$28,N$1,FALSE))</f>
        <v>576</v>
      </c>
      <c r="O10" s="10">
        <f>IF(N10=0,1,RANK(N10,N$6:N$10,0))</f>
        <v>1</v>
      </c>
      <c r="P10" s="10">
        <f>COUNTIF(O$6:O$10,O10)-1</f>
        <v>0</v>
      </c>
      <c r="Q10" s="10">
        <f>IF(N10=0,0,((O10+P10-1)*2)-P10)</f>
        <v>0</v>
      </c>
      <c r="R10" s="10">
        <f>IF(N10=0,0,((COUNTIF(O$6:O$10,"&gt;0")-1)*2-Q10))</f>
        <v>8</v>
      </c>
      <c r="S10" s="10">
        <f>IF($B10="",0,VLOOKUP($B10,'Eingabe Mannschaften'!$A$2:$I$28,S$1,FALSE))</f>
        <v>578</v>
      </c>
      <c r="T10" s="10">
        <f>IF(S10=0,1,RANK(S10,S$6:S$10,0))</f>
        <v>2</v>
      </c>
      <c r="U10" s="10">
        <f>COUNTIF(T$6:T$10,T10)-1</f>
        <v>0</v>
      </c>
      <c r="V10" s="10">
        <f>IF(S10=0,0,((T10+U10-1)*2)-U10)</f>
        <v>2</v>
      </c>
      <c r="W10" s="10">
        <f>IF(S10=0,0,((COUNTIF(T$6:T$10,"&gt;0")-1)*2-V10))</f>
        <v>6</v>
      </c>
      <c r="X10" s="10">
        <f>IF($B10="",0,VLOOKUP($B10,'Eingabe Mannschaften'!$A$2:$I$28,X$1,FALSE))</f>
        <v>626</v>
      </c>
      <c r="Y10" s="10">
        <f>IF(X10=0,1,RANK(X10,X$6:X$10,0))</f>
        <v>1</v>
      </c>
      <c r="Z10" s="10">
        <f>COUNTIF(Y$6:Y$10,Y10)-1</f>
        <v>0</v>
      </c>
      <c r="AA10" s="10">
        <f>IF(X10=0,0,((Y10+Z10-1)*2)-Z10)</f>
        <v>0</v>
      </c>
      <c r="AB10" s="10">
        <f>IF(X10=0,0,((COUNTIF(Y$6:Y$10,"&gt;0")-1)*2-AA10))</f>
        <v>8</v>
      </c>
      <c r="AC10" s="10">
        <f>IF($B10="",0,VLOOKUP($B10,'Eingabe Mannschaften'!$A$2:$I$28,AC$1,FALSE))</f>
        <v>601</v>
      </c>
      <c r="AD10" s="10">
        <f>IF(AC10=0,1,RANK(AC10,AC$6:AC$10,0))</f>
        <v>1</v>
      </c>
      <c r="AE10" s="10">
        <f>COUNTIF(AD$6:AD$10,AD10)-1</f>
        <v>0</v>
      </c>
      <c r="AF10" s="10">
        <f>IF(AC10=0,0,((AD10+AE10-1)*2)-AE10)</f>
        <v>0</v>
      </c>
      <c r="AG10" s="10">
        <f>IF(AC10=0,0,((COUNTIF(AD$6:AD$10,"&gt;0")-1)*2-AF10))</f>
        <v>8</v>
      </c>
      <c r="AH10" s="10">
        <f>SUM(D10,I10,N10,S10,X10,AC10)</f>
        <v>3577</v>
      </c>
      <c r="AI10" s="10">
        <f>SUM(COUNTIF(D10,"&gt;0")+COUNTIF(I10,"&gt;0")+COUNTIF(N10,"&gt;0")+COUNTIF(S10,"&gt;0")+COUNTIF(X10,"&gt;0")+COUNTIF(AC10,"&gt;0"))</f>
        <v>6</v>
      </c>
      <c r="AJ10" s="10">
        <f>IF($B10="",0,VLOOKUP($B10,'Eingabe Mannschaften'!$A$2:$J$28,AJ$1,FALSE))</f>
        <v>0</v>
      </c>
      <c r="AK10" s="10">
        <f>IF(('Eingabe Mannschaften'!$I$29)&gt;AI10,1,"")</f>
      </c>
      <c r="AL10" s="12"/>
      <c r="AM10" s="12"/>
      <c r="AN10" s="10">
        <f>IF(AK10=1,"ADW",IF(AL10=1,SUM(AH10-AM10),AH10))</f>
        <v>3577</v>
      </c>
      <c r="AO10" s="82">
        <f>IF(AK10=1,0,AN10/(AI10)/18)</f>
        <v>33.12037037037037</v>
      </c>
      <c r="AP10" s="10">
        <f t="shared" si="0"/>
        <v>10</v>
      </c>
      <c r="AQ10" s="10">
        <f t="shared" si="0"/>
        <v>38</v>
      </c>
      <c r="AR10" s="83">
        <f>RANK(AP10,$AP$6:$AP$10,0)</f>
        <v>5</v>
      </c>
      <c r="AS10" s="83">
        <f>RANK(AN10,AN$6:AN$10,1)</f>
        <v>5</v>
      </c>
      <c r="AT10" s="83">
        <f>COUNTIF(AS$6:AS10,AS10)</f>
        <v>1</v>
      </c>
      <c r="AU10" s="83">
        <f>AR10*1000+AS10*100+AJ10*10+AT10</f>
        <v>5501</v>
      </c>
      <c r="AV10" s="34">
        <f>A10</f>
        <v>5</v>
      </c>
      <c r="AW10" s="83">
        <f>SMALL(AU$6:AU$10,A10)</f>
        <v>5501</v>
      </c>
      <c r="AX10" s="83">
        <f>VLOOKUP(AW10,AU$6:AV$10,$AX$1,FALSE)</f>
        <v>5</v>
      </c>
      <c r="AY10" s="12">
        <f>A10</f>
        <v>5</v>
      </c>
      <c r="AZ10" s="50">
        <f>IF(VLOOKUP($AX10,$A$6:$AX$10,AZ$1,FALSE),"x",0)</f>
        <v>0</v>
      </c>
      <c r="BA10" s="52" t="str">
        <f t="shared" si="1"/>
        <v>Uerdingen 1</v>
      </c>
      <c r="BB10" s="52" t="str">
        <f t="shared" si="1"/>
        <v>BGC Uerdingen</v>
      </c>
      <c r="BC10" s="12">
        <f t="shared" si="1"/>
        <v>10</v>
      </c>
      <c r="BD10" s="54" t="s">
        <v>65</v>
      </c>
      <c r="BE10" s="12">
        <f t="shared" si="2"/>
        <v>38</v>
      </c>
      <c r="BF10" s="55">
        <f t="shared" si="2"/>
        <v>3577</v>
      </c>
      <c r="BG10" s="56">
        <f t="shared" si="2"/>
        <v>33.12037037037037</v>
      </c>
      <c r="BH10" s="12">
        <f t="shared" si="2"/>
        <v>626</v>
      </c>
      <c r="BI10" s="12">
        <f t="shared" si="2"/>
        <v>570</v>
      </c>
      <c r="BJ10" s="12">
        <f t="shared" si="2"/>
        <v>576</v>
      </c>
      <c r="BK10" s="12">
        <f t="shared" si="2"/>
        <v>578</v>
      </c>
      <c r="BL10" s="12">
        <f t="shared" si="2"/>
        <v>626</v>
      </c>
      <c r="BM10" s="12">
        <f t="shared" si="2"/>
        <v>601</v>
      </c>
    </row>
    <row r="11" spans="4:66" ht="12.75"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O11" s="85"/>
      <c r="AP11" s="11"/>
      <c r="AQ11" s="11"/>
      <c r="AR11" s="85"/>
      <c r="AS11" s="85"/>
      <c r="AT11" s="85"/>
      <c r="AU11" s="85"/>
      <c r="AX11" s="86"/>
      <c r="AY11" s="12"/>
      <c r="BA11" s="52"/>
      <c r="BB11" s="52"/>
      <c r="BC11" s="12"/>
      <c r="BD11" s="12"/>
      <c r="BE11" s="12"/>
      <c r="BF11" s="57"/>
      <c r="BG11" s="52"/>
      <c r="BH11" s="52"/>
      <c r="BI11" s="52"/>
      <c r="BJ11" s="52"/>
      <c r="BK11" s="52"/>
      <c r="BL11" s="52"/>
      <c r="BM11" s="52"/>
      <c r="BN11" s="37"/>
    </row>
    <row r="12" spans="2:65" ht="25.5" customHeight="1">
      <c r="B12" s="3" t="s">
        <v>0</v>
      </c>
      <c r="C12" s="3" t="s">
        <v>1</v>
      </c>
      <c r="D12" s="11" t="s">
        <v>21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26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71" t="s">
        <v>61</v>
      </c>
      <c r="AI12" s="11" t="s">
        <v>27</v>
      </c>
      <c r="AJ12" s="11" t="s">
        <v>94</v>
      </c>
      <c r="AK12" s="72" t="s">
        <v>35</v>
      </c>
      <c r="AL12" s="71" t="s">
        <v>34</v>
      </c>
      <c r="AM12" s="11" t="s">
        <v>20</v>
      </c>
      <c r="AN12" s="72" t="s">
        <v>29</v>
      </c>
      <c r="AO12" s="72" t="s">
        <v>33</v>
      </c>
      <c r="AP12" s="11"/>
      <c r="AQ12" s="11"/>
      <c r="AR12" s="71" t="s">
        <v>36</v>
      </c>
      <c r="AS12" s="71" t="s">
        <v>37</v>
      </c>
      <c r="AT12" s="71" t="s">
        <v>38</v>
      </c>
      <c r="AU12" s="72" t="s">
        <v>95</v>
      </c>
      <c r="AV12" s="71"/>
      <c r="AW12" s="11" t="s">
        <v>28</v>
      </c>
      <c r="AX12" s="11" t="s">
        <v>30</v>
      </c>
      <c r="AY12" s="64"/>
      <c r="AZ12" s="79"/>
      <c r="BA12" s="58" t="s">
        <v>75</v>
      </c>
      <c r="BB12" s="58" t="s">
        <v>1</v>
      </c>
      <c r="BC12" s="59" t="s">
        <v>61</v>
      </c>
      <c r="BD12" s="59"/>
      <c r="BE12" s="59"/>
      <c r="BF12" s="60" t="s">
        <v>20</v>
      </c>
      <c r="BG12" s="61" t="s">
        <v>43</v>
      </c>
      <c r="BH12" s="61" t="str">
        <f>'Eingabe Einzelspieler'!$A$128</f>
        <v>Witten-Herbede</v>
      </c>
      <c r="BI12" s="61" t="str">
        <f>'Eingabe Einzelspieler'!$A$129</f>
        <v>Uerdingen</v>
      </c>
      <c r="BJ12" s="61" t="str">
        <f>'Eingabe Einzelspieler'!$A$130</f>
        <v>Bo-Langendreer</v>
      </c>
      <c r="BK12" s="61" t="str">
        <f>'Eingabe Einzelspieler'!$A$131</f>
        <v>Wesel</v>
      </c>
      <c r="BL12" s="61" t="str">
        <f>'Eingabe Einzelspieler'!$A$132</f>
        <v>Neviges</v>
      </c>
      <c r="BM12" s="61" t="str">
        <f>'Eingabe Einzelspieler'!$A$133</f>
        <v>Ge-Bulmke</v>
      </c>
    </row>
    <row r="13" spans="2:65" ht="12.75">
      <c r="B13" s="87" t="s">
        <v>67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O13" s="85"/>
      <c r="AP13" s="11"/>
      <c r="AQ13" s="11"/>
      <c r="AR13" s="85"/>
      <c r="AS13" s="85"/>
      <c r="AT13" s="85"/>
      <c r="AU13" s="85"/>
      <c r="AX13" s="86"/>
      <c r="AY13" s="64" t="str">
        <f>B13</f>
        <v>Damen-Mannschaften</v>
      </c>
      <c r="AZ13" s="79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1:65" ht="12.75">
      <c r="A14" s="52">
        <v>1</v>
      </c>
      <c r="B14" s="14" t="str">
        <f>VLOOKUP($A14,'Eingabe Mannschaften'!L$2:Q$28,5,FALSE)</f>
        <v>"AS" Witten 2</v>
      </c>
      <c r="C14" s="14" t="str">
        <f>VLOOKUP($A14,'Eingabe Mannschaften'!L$2:Q$28,6,FALSE)</f>
        <v>MGC "AS" Witten</v>
      </c>
      <c r="D14" s="10">
        <f>IF($B14="",0,VLOOKUP($B14,'Eingabe Mannschaften'!$A$2:$I$28,D$11,FALSE))</f>
        <v>279</v>
      </c>
      <c r="E14" s="10">
        <f>IF($B14="",0,VLOOKUP($B14,'Eingabe Mannschaften'!$A$2:$I$28,E$11,FALSE))</f>
        <v>293</v>
      </c>
      <c r="F14" s="10">
        <f>IF($B14="",0,VLOOKUP($B14,'Eingabe Mannschaften'!$A$2:$I$28,F$11,FALSE))</f>
        <v>297</v>
      </c>
      <c r="G14" s="10">
        <f>IF($B14="",0,VLOOKUP($B14,'Eingabe Mannschaften'!$A$2:$I$28,G$11,FALSE))</f>
        <v>289</v>
      </c>
      <c r="H14" s="10">
        <f>IF($B14="",0,VLOOKUP($B14,'Eingabe Mannschaften'!$A$2:$I$28,H$11,FALSE))</f>
        <v>289</v>
      </c>
      <c r="I14" s="10">
        <f>IF($B14="",0,VLOOKUP($B14,'Eingabe Mannschaften'!$A$2:$I$28,I$11,FALSE))</f>
        <v>285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f>SUM(D14:I14)</f>
        <v>1732</v>
      </c>
      <c r="AI14" s="10">
        <f>COUNTIF(D14:I14,"&gt;0")</f>
        <v>6</v>
      </c>
      <c r="AJ14" s="10">
        <f>IF($B14="",0,VLOOKUP($B14,'Eingabe Mannschaften'!$A$2:$J$28,AJ$1,FALSE))</f>
        <v>0</v>
      </c>
      <c r="AK14" s="10">
        <f>IF(('Eingabe Mannschaften'!$I$29-1)&gt;AI14,1,"")</f>
      </c>
      <c r="AL14" s="10">
        <f>IF('Eingabe Mannschaften'!$I$29=1,0,IF(AI14='Eingabe Mannschaften'!$I$29,1,0))</f>
        <v>1</v>
      </c>
      <c r="AM14" s="10">
        <f>IF(AL14=1,LARGE(D14:I14,1),"")</f>
        <v>297</v>
      </c>
      <c r="AN14" s="10">
        <f>IF(AK14=1,"ADW",IF(AL14=1,SUM(AH14-AM14),AH14))</f>
        <v>1435</v>
      </c>
      <c r="AO14" s="82">
        <f>IF(AND(AI14=1,AL14=1),AH14/9,IF(AK14=1,"",IF(AL14=0,AN14/(AI14)/9,AN14/((AI14)-AL14)/9)))</f>
        <v>31.88888888888889</v>
      </c>
      <c r="AP14" s="10"/>
      <c r="AQ14" s="10"/>
      <c r="AR14" s="83">
        <f>IF(AK14=1,100,RANK(AN14,$AN$14:$AN$15,1))</f>
        <v>1</v>
      </c>
      <c r="AS14" s="83">
        <f>COUNTIF(AR$14:AR14,AR14)</f>
        <v>1</v>
      </c>
      <c r="AT14" s="83">
        <f>AR14+AS14-1</f>
        <v>1</v>
      </c>
      <c r="AU14" s="88">
        <f>IF(AK14=1,2500+(AT14/10000),AN14+(AT14/10000)+(AJ14/10))</f>
        <v>1435.0001</v>
      </c>
      <c r="AV14" s="34">
        <f>A14</f>
        <v>1</v>
      </c>
      <c r="AW14" s="88">
        <f>SMALL(AU$14:AU$15,A14)</f>
        <v>1435.0001</v>
      </c>
      <c r="AX14" s="83">
        <f>VLOOKUP(AW14,AU$14:AV$15,$AX$1,FALSE)</f>
        <v>1</v>
      </c>
      <c r="AY14" s="12">
        <f>A14</f>
        <v>1</v>
      </c>
      <c r="AZ14" s="50">
        <f>IF(VLOOKUP($AX14,$A$14:$AX$15,AZ$1,FALSE),"x",0)</f>
        <v>0</v>
      </c>
      <c r="BA14" s="101" t="str">
        <f>VLOOKUP($AX14,$A$14:$AX$15,BA$1,FALSE)</f>
        <v>"AS" Witten 2</v>
      </c>
      <c r="BB14" s="101" t="str">
        <f>VLOOKUP($AX14,$A$14:$AX$15,BB$1,FALSE)</f>
        <v>MGC "AS" Witten</v>
      </c>
      <c r="BC14" s="105">
        <f>VLOOKUP($AX14,$A$14:$AX$15,BC$40,FALSE)</f>
        <v>1435</v>
      </c>
      <c r="BD14" s="105"/>
      <c r="BE14" s="105"/>
      <c r="BF14" s="55">
        <f aca="true" t="shared" si="3" ref="BF14:BM15">VLOOKUP($AX14,$A$14:$AX$15,BF$40,FALSE)</f>
        <v>297</v>
      </c>
      <c r="BG14" s="56">
        <f t="shared" si="3"/>
        <v>31.88888888888889</v>
      </c>
      <c r="BH14" s="12">
        <f t="shared" si="3"/>
        <v>279</v>
      </c>
      <c r="BI14" s="12">
        <f t="shared" si="3"/>
        <v>293</v>
      </c>
      <c r="BJ14" s="12">
        <f t="shared" si="3"/>
        <v>297</v>
      </c>
      <c r="BK14" s="12">
        <f t="shared" si="3"/>
        <v>289</v>
      </c>
      <c r="BL14" s="12">
        <f t="shared" si="3"/>
        <v>289</v>
      </c>
      <c r="BM14" s="12">
        <f t="shared" si="3"/>
        <v>285</v>
      </c>
    </row>
    <row r="15" spans="1:65" ht="12.75">
      <c r="A15" s="52">
        <v>2</v>
      </c>
      <c r="B15" s="14" t="str">
        <f>VLOOKUP($A15,'Eingabe Mannschaften'!L$2:Q$28,5,FALSE)</f>
        <v>Neviges 4</v>
      </c>
      <c r="C15" s="14" t="str">
        <f>VLOOKUP($A15,'Eingabe Mannschaften'!L$2:Q$28,6,FALSE)</f>
        <v>MGC Neviges</v>
      </c>
      <c r="D15" s="10">
        <f>IF($B15="",0,VLOOKUP($B15,'Eingabe Mannschaften'!$A$2:$I$28,D$11,FALSE))</f>
        <v>326</v>
      </c>
      <c r="E15" s="10">
        <f>IF($B15="",0,VLOOKUP($B15,'Eingabe Mannschaften'!$A$2:$I$28,E$11,FALSE))</f>
        <v>312</v>
      </c>
      <c r="F15" s="10">
        <f>IF($B15="",0,VLOOKUP($B15,'Eingabe Mannschaften'!$A$2:$I$28,F$11,FALSE))</f>
        <v>317</v>
      </c>
      <c r="G15" s="10">
        <f>IF($B15="",0,VLOOKUP($B15,'Eingabe Mannschaften'!$A$2:$I$28,G$11,FALSE))</f>
        <v>322</v>
      </c>
      <c r="H15" s="10">
        <f>IF($B15="",0,VLOOKUP($B15,'Eingabe Mannschaften'!$A$2:$I$28,H$11,FALSE))</f>
        <v>307</v>
      </c>
      <c r="I15" s="10">
        <f>IF($B15="",0,VLOOKUP($B15,'Eingabe Mannschaften'!$A$2:$I$28,I$11,FALSE))</f>
        <v>304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>
        <f>SUM(D15:I15)</f>
        <v>1888</v>
      </c>
      <c r="AI15" s="10">
        <f>COUNTIF(D15:I15,"&gt;0")</f>
        <v>6</v>
      </c>
      <c r="AJ15" s="10">
        <f>IF($B15="",0,VLOOKUP($B15,'Eingabe Mannschaften'!$A$2:$J$28,AJ$1,FALSE))</f>
        <v>0</v>
      </c>
      <c r="AK15" s="10">
        <f>IF(('Eingabe Mannschaften'!$I$29-1)&gt;AI15,1,"")</f>
      </c>
      <c r="AL15" s="10">
        <f>IF('Eingabe Mannschaften'!$I$29=1,0,IF(AI15='Eingabe Mannschaften'!$I$29,1,0))</f>
        <v>1</v>
      </c>
      <c r="AM15" s="10">
        <f>IF(AL15=1,LARGE(D15:I15,1),"")</f>
        <v>326</v>
      </c>
      <c r="AN15" s="10">
        <f>IF(AK15=1,"ADW",IF(AL15=1,SUM(AH15-AM15),AH15))</f>
        <v>1562</v>
      </c>
      <c r="AO15" s="82">
        <f>IF(AND(AI15=1,AL15=1),AH15/9,IF(AK15=1,"",IF(AL15=0,AN15/(AI15)/9,AN15/((AI15)-AL15)/9)))</f>
        <v>34.71111111111111</v>
      </c>
      <c r="AP15" s="10"/>
      <c r="AQ15" s="10"/>
      <c r="AR15" s="83">
        <f>IF(AK15=1,100,RANK(AN15,$AN$14:$AN$15,1))</f>
        <v>2</v>
      </c>
      <c r="AS15" s="83">
        <f>COUNTIF(AR$14:AR15,AR15)</f>
        <v>1</v>
      </c>
      <c r="AT15" s="83">
        <f>AR15+AS15-1</f>
        <v>2</v>
      </c>
      <c r="AU15" s="88">
        <f>IF(AK15=1,2500+(AT15/10000),AN15+(AT15/10000)+(AJ15/10))</f>
        <v>1562.0002</v>
      </c>
      <c r="AV15" s="34">
        <f>A15</f>
        <v>2</v>
      </c>
      <c r="AW15" s="88">
        <f>SMALL(AU$14:AU$15,A15)</f>
        <v>1562.0002</v>
      </c>
      <c r="AX15" s="83">
        <f>VLOOKUP(AW15,AU$14:AV$15,$AX$1,FALSE)</f>
        <v>2</v>
      </c>
      <c r="AY15" s="12">
        <f>A15</f>
        <v>2</v>
      </c>
      <c r="AZ15" s="50">
        <f>IF(VLOOKUP($AX15,$A$14:$AX$15,AZ$1,FALSE),"x",0)</f>
        <v>0</v>
      </c>
      <c r="BA15" s="52" t="str">
        <f>VLOOKUP($AX15,$A$14:$AX$15,BA$1,FALSE)</f>
        <v>Neviges 4</v>
      </c>
      <c r="BB15" s="52" t="str">
        <f>VLOOKUP($AX15,$A$14:$AX$15,BB$1,FALSE)</f>
        <v>MGC Neviges</v>
      </c>
      <c r="BC15" s="53">
        <f>VLOOKUP($AX15,$A$14:$AX$15,BC$40,FALSE)</f>
        <v>1562</v>
      </c>
      <c r="BD15" s="53"/>
      <c r="BE15" s="53"/>
      <c r="BF15" s="55">
        <f t="shared" si="3"/>
        <v>326</v>
      </c>
      <c r="BG15" s="56">
        <f t="shared" si="3"/>
        <v>34.71111111111111</v>
      </c>
      <c r="BH15" s="12">
        <f t="shared" si="3"/>
        <v>326</v>
      </c>
      <c r="BI15" s="12">
        <f t="shared" si="3"/>
        <v>312</v>
      </c>
      <c r="BJ15" s="12">
        <f t="shared" si="3"/>
        <v>317</v>
      </c>
      <c r="BK15" s="12">
        <f t="shared" si="3"/>
        <v>322</v>
      </c>
      <c r="BL15" s="12">
        <f t="shared" si="3"/>
        <v>307</v>
      </c>
      <c r="BM15" s="12">
        <f t="shared" si="3"/>
        <v>304</v>
      </c>
    </row>
    <row r="16" spans="4:65" ht="12.7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O16" s="85"/>
      <c r="AP16" s="11"/>
      <c r="AQ16" s="11"/>
      <c r="AR16" s="85"/>
      <c r="AS16" s="85"/>
      <c r="AT16" s="85"/>
      <c r="AU16" s="89"/>
      <c r="AW16" s="89"/>
      <c r="AY16" s="1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2:65" ht="12.75">
      <c r="B17" s="87" t="s">
        <v>68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O17" s="85"/>
      <c r="AP17" s="11"/>
      <c r="AQ17" s="11"/>
      <c r="AR17" s="85"/>
      <c r="AS17" s="85"/>
      <c r="AT17" s="85"/>
      <c r="AU17" s="89"/>
      <c r="AW17" s="89"/>
      <c r="AX17" s="86"/>
      <c r="AY17" s="64" t="str">
        <f>B17</f>
        <v>Senioren-Mannschaften</v>
      </c>
      <c r="AZ17" s="79"/>
      <c r="BA17" s="52"/>
      <c r="BB17" s="52"/>
      <c r="BC17" s="12"/>
      <c r="BD17" s="12"/>
      <c r="BE17" s="12"/>
      <c r="BF17" s="57"/>
      <c r="BG17" s="52"/>
      <c r="BH17" s="52"/>
      <c r="BI17" s="52"/>
      <c r="BJ17" s="52"/>
      <c r="BK17" s="52"/>
      <c r="BL17" s="52"/>
      <c r="BM17" s="52"/>
    </row>
    <row r="18" spans="1:65" ht="12.75">
      <c r="A18" s="52">
        <v>1</v>
      </c>
      <c r="B18" s="14" t="str">
        <f>VLOOKUP($A18,'Eingabe Mannschaften'!M$2:Q$28,4,FALSE)</f>
        <v>"AS" Witten 3</v>
      </c>
      <c r="C18" s="14" t="str">
        <f>VLOOKUP($A18,'Eingabe Mannschaften'!M$2:Q$28,5,FALSE)</f>
        <v>MGC "AS" Witten</v>
      </c>
      <c r="D18" s="10">
        <f>IF($B18="",0,VLOOKUP($B18,'Eingabe Mannschaften'!$A$2:$I$28,D$11,FALSE))</f>
        <v>285</v>
      </c>
      <c r="E18" s="10">
        <f>IF($B18="",0,VLOOKUP($B18,'Eingabe Mannschaften'!$A$2:$I$28,E$11,FALSE))</f>
        <v>291</v>
      </c>
      <c r="F18" s="10">
        <f>IF($B18="",0,VLOOKUP($B18,'Eingabe Mannschaften'!$A$2:$I$28,F$11,FALSE))</f>
        <v>307</v>
      </c>
      <c r="G18" s="10">
        <f>IF($B18="",0,VLOOKUP($B18,'Eingabe Mannschaften'!$A$2:$I$28,G$11,FALSE))</f>
        <v>288</v>
      </c>
      <c r="H18" s="10">
        <f>IF($B18="",0,VLOOKUP($B18,'Eingabe Mannschaften'!$A$2:$I$28,H$11,FALSE))</f>
        <v>303</v>
      </c>
      <c r="I18" s="10">
        <f>IF($B18="",0,VLOOKUP($B18,'Eingabe Mannschaften'!$A$2:$I$28,I$11,FALSE))</f>
        <v>304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f>SUM(D18:I18)</f>
        <v>1778</v>
      </c>
      <c r="AI18" s="10">
        <f>COUNTIF(D18:I18,"&gt;0")</f>
        <v>6</v>
      </c>
      <c r="AJ18" s="10">
        <f>IF($B18="",0,VLOOKUP($B18,'Eingabe Mannschaften'!$A$2:$J$28,AJ$1,FALSE))</f>
        <v>0</v>
      </c>
      <c r="AK18" s="10">
        <f>IF(('Eingabe Mannschaften'!$I$29-1)&gt;AI18,1,"")</f>
      </c>
      <c r="AL18" s="10">
        <f>IF('Eingabe Mannschaften'!$I$29=1,0,IF(AI18='Eingabe Mannschaften'!$I$29,1,0))</f>
        <v>1</v>
      </c>
      <c r="AM18" s="10">
        <f>IF(AL18=1,LARGE(D18:I18,1),"")</f>
        <v>307</v>
      </c>
      <c r="AN18" s="10">
        <f>IF(AK18=1,"ADW",IF(AL18=1,SUM(AH18-AM18),AH18))</f>
        <v>1471</v>
      </c>
      <c r="AO18" s="82">
        <f>IF(AND(AI18=1,AL18=1),AH18/9,IF(AK18=1,"",IF(AL18=0,AN18/(AI18)/9,AN18/((AI18)-AL18)/9)))</f>
        <v>32.68888888888889</v>
      </c>
      <c r="AP18" s="10"/>
      <c r="AQ18" s="10"/>
      <c r="AR18" s="83">
        <f>IF(AK18=1,100,RANK(AN18,$AN$18:$AN$28,1))</f>
        <v>4</v>
      </c>
      <c r="AS18" s="83">
        <f>COUNTIF(AR$18:AR18,AR18)</f>
        <v>1</v>
      </c>
      <c r="AT18" s="83">
        <f>AR18+AS18-1</f>
        <v>4</v>
      </c>
      <c r="AU18" s="88">
        <f>IF(AK18=1,2500+(AT18/10000),AN18+(AT18/10000)+(AJ18/10))</f>
        <v>1471.0004</v>
      </c>
      <c r="AV18" s="34">
        <f>A18</f>
        <v>1</v>
      </c>
      <c r="AW18" s="88">
        <f>SMALL(AU$18:AU$28,A18)</f>
        <v>1436.0001</v>
      </c>
      <c r="AX18" s="83">
        <f>VLOOKUP(AW18,AU$18:AV$28,$AX$1,FALSE)</f>
        <v>4</v>
      </c>
      <c r="AY18" s="12">
        <f>A18</f>
        <v>1</v>
      </c>
      <c r="AZ18" s="50">
        <f>IF(VLOOKUP($AX18,$A$18:$AX$28,AZ$1,FALSE),"x",0)</f>
        <v>0</v>
      </c>
      <c r="BA18" s="52" t="str">
        <f aca="true" t="shared" si="4" ref="BA18:BB28">VLOOKUP($AX18,$A$18:$AX$28,BA$1,FALSE)</f>
        <v>Wesel 2</v>
      </c>
      <c r="BB18" s="52" t="str">
        <f t="shared" si="4"/>
        <v>1.MSC Wesel</v>
      </c>
      <c r="BC18" s="53">
        <f>VLOOKUP($AX18,$A$18:$AX$28,BC$40,FALSE)</f>
        <v>1436</v>
      </c>
      <c r="BD18" s="53"/>
      <c r="BE18" s="53"/>
      <c r="BF18" s="55">
        <f aca="true" t="shared" si="5" ref="BF18:BM28">VLOOKUP($AX18,$A$18:$AX$28,BF$40,FALSE)</f>
        <v>300</v>
      </c>
      <c r="BG18" s="56">
        <f t="shared" si="5"/>
        <v>31.91111111111111</v>
      </c>
      <c r="BH18" s="12">
        <f t="shared" si="5"/>
        <v>296</v>
      </c>
      <c r="BI18" s="12">
        <f t="shared" si="5"/>
        <v>284</v>
      </c>
      <c r="BJ18" s="12">
        <f t="shared" si="5"/>
        <v>299</v>
      </c>
      <c r="BK18" s="12">
        <f t="shared" si="5"/>
        <v>300</v>
      </c>
      <c r="BL18" s="12">
        <f t="shared" si="5"/>
        <v>287</v>
      </c>
      <c r="BM18" s="12">
        <f t="shared" si="5"/>
        <v>270</v>
      </c>
    </row>
    <row r="19" spans="1:65" ht="12.75">
      <c r="A19" s="52">
        <v>2</v>
      </c>
      <c r="B19" s="14" t="str">
        <f>VLOOKUP($A19,'Eingabe Mannschaften'!M$2:Q$28,4,FALSE)</f>
        <v>Gelsenkirchen 2</v>
      </c>
      <c r="C19" s="14" t="str">
        <f>VLOOKUP($A19,'Eingabe Mannschaften'!M$2:Q$28,5,FALSE)</f>
        <v>1. MGC Gelsenkirchen</v>
      </c>
      <c r="D19" s="10">
        <f>IF($B19="",0,VLOOKUP($B19,'Eingabe Mannschaften'!$A$2:$I$28,D$11,FALSE))</f>
        <v>306</v>
      </c>
      <c r="E19" s="10">
        <f>IF($B19="",0,VLOOKUP($B19,'Eingabe Mannschaften'!$A$2:$I$28,E$11,FALSE))</f>
        <v>288</v>
      </c>
      <c r="F19" s="10">
        <f>IF($B19="",0,VLOOKUP($B19,'Eingabe Mannschaften'!$A$2:$I$28,F$11,FALSE))</f>
        <v>284</v>
      </c>
      <c r="G19" s="10">
        <f>IF($B19="",0,VLOOKUP($B19,'Eingabe Mannschaften'!$A$2:$I$28,G$11,FALSE))</f>
        <v>300</v>
      </c>
      <c r="H19" s="10">
        <f>IF($B19="",0,VLOOKUP($B19,'Eingabe Mannschaften'!$A$2:$I$28,H$11,FALSE))</f>
        <v>299</v>
      </c>
      <c r="I19" s="10">
        <f>IF($B19="",0,VLOOKUP($B19,'Eingabe Mannschaften'!$A$2:$I$28,I$11,FALSE))</f>
        <v>273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>
        <f>SUM(D19:I19)</f>
        <v>1750</v>
      </c>
      <c r="AI19" s="10">
        <f>COUNTIF(D19:I19,"&gt;0")</f>
        <v>6</v>
      </c>
      <c r="AJ19" s="10">
        <f>IF($B19="",0,VLOOKUP($B19,'Eingabe Mannschaften'!$A$2:$J$28,AJ$1,FALSE))</f>
        <v>0</v>
      </c>
      <c r="AK19" s="10">
        <f>IF(('Eingabe Mannschaften'!$I$29-1)&gt;AI19,1,"")</f>
      </c>
      <c r="AL19" s="10">
        <f>IF('Eingabe Mannschaften'!$I$29=1,0,IF(AI19='Eingabe Mannschaften'!$I$29,1,0))</f>
        <v>1</v>
      </c>
      <c r="AM19" s="10">
        <f>IF(AL19=1,LARGE(D19:I19,1),"")</f>
        <v>306</v>
      </c>
      <c r="AN19" s="10">
        <f>IF(AK19=1,"ADW",IF(AL19=1,SUM(AH19-AM19),AH19))</f>
        <v>1444</v>
      </c>
      <c r="AO19" s="82">
        <f>IF(AND(AI19=1,AL19=1),AH19/9,IF(AK19=1,"",IF(AL19=0,AN19/(AI19)/9,AN19/((AI19)-AL19)/9)))</f>
        <v>32.08888888888889</v>
      </c>
      <c r="AP19" s="10"/>
      <c r="AQ19" s="10"/>
      <c r="AR19" s="83">
        <f>IF(AK19=1,100,RANK(AN19,$AN$18:$AN$28,1))</f>
        <v>3</v>
      </c>
      <c r="AS19" s="83">
        <f>COUNTIF(AR$18:AR19,AR19)</f>
        <v>1</v>
      </c>
      <c r="AT19" s="83">
        <f>AR19+AS19-1</f>
        <v>3</v>
      </c>
      <c r="AU19" s="88">
        <f>IF(AK19=1,2500+(AT19/10000),AN19+(AT19/10000)+(AJ19/10))</f>
        <v>1444.0003</v>
      </c>
      <c r="AV19" s="34">
        <f>A19</f>
        <v>2</v>
      </c>
      <c r="AW19" s="88">
        <f>SMALL(AU$18:AU$28,A19)</f>
        <v>1439.0002</v>
      </c>
      <c r="AX19" s="83">
        <f>VLOOKUP(AW19,AU$18:AV$28,$AX$1,FALSE)</f>
        <v>8</v>
      </c>
      <c r="AY19" s="12">
        <f>A19</f>
        <v>2</v>
      </c>
      <c r="AZ19" s="50">
        <f>IF(VLOOKUP($AX19,$A$18:$AX$28,AZ$1,FALSE),"x",0)</f>
        <v>0</v>
      </c>
      <c r="BA19" s="52" t="str">
        <f t="shared" si="4"/>
        <v>Neviges 2</v>
      </c>
      <c r="BB19" s="52" t="str">
        <f t="shared" si="4"/>
        <v>MGC Neviges</v>
      </c>
      <c r="BC19" s="53">
        <f>VLOOKUP($AX19,$A$18:$AX$28,BC$40,FALSE)</f>
        <v>1439</v>
      </c>
      <c r="BD19" s="53"/>
      <c r="BE19" s="53"/>
      <c r="BF19" s="55">
        <f t="shared" si="5"/>
        <v>309</v>
      </c>
      <c r="BG19" s="56">
        <f t="shared" si="5"/>
        <v>31.977777777777778</v>
      </c>
      <c r="BH19" s="12">
        <f t="shared" si="5"/>
        <v>309</v>
      </c>
      <c r="BI19" s="12">
        <f t="shared" si="5"/>
        <v>280</v>
      </c>
      <c r="BJ19" s="12">
        <f t="shared" si="5"/>
        <v>287</v>
      </c>
      <c r="BK19" s="12">
        <f t="shared" si="5"/>
        <v>306</v>
      </c>
      <c r="BL19" s="12">
        <f t="shared" si="5"/>
        <v>267</v>
      </c>
      <c r="BM19" s="12">
        <f t="shared" si="5"/>
        <v>299</v>
      </c>
    </row>
    <row r="20" spans="1:65" ht="12.75">
      <c r="A20" s="52">
        <v>3</v>
      </c>
      <c r="B20" s="14" t="str">
        <f>VLOOKUP($A20,'Eingabe Mannschaften'!M$2:Q$28,4,FALSE)</f>
        <v>Gelsenkirchen 3</v>
      </c>
      <c r="C20" s="14" t="str">
        <f>VLOOKUP($A20,'Eingabe Mannschaften'!M$2:Q$28,5,FALSE)</f>
        <v>1. MGC Gelsenkirchen</v>
      </c>
      <c r="D20" s="10">
        <f>IF($B20="",0,VLOOKUP($B20,'Eingabe Mannschaften'!$A$2:$I$28,D$11,FALSE))</f>
        <v>353</v>
      </c>
      <c r="E20" s="10">
        <f>IF($B20="",0,VLOOKUP($B20,'Eingabe Mannschaften'!$A$2:$I$28,E$11,FALSE))</f>
        <v>323</v>
      </c>
      <c r="F20" s="10">
        <f>IF($B20="",0,VLOOKUP($B20,'Eingabe Mannschaften'!$A$2:$I$28,F$11,FALSE))</f>
        <v>308</v>
      </c>
      <c r="G20" s="10">
        <f>IF($B20="",0,VLOOKUP($B20,'Eingabe Mannschaften'!$A$2:$I$28,G$11,FALSE))</f>
        <v>342</v>
      </c>
      <c r="H20" s="10">
        <f>IF($B20="",0,VLOOKUP($B20,'Eingabe Mannschaften'!$A$2:$I$28,H$11,FALSE))</f>
        <v>0</v>
      </c>
      <c r="I20" s="10">
        <f>IF($B20="",0,VLOOKUP($B20,'Eingabe Mannschaften'!$A$2:$I$28,I$11,FALSE))</f>
        <v>311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>
        <f>SUM(D20:I20)</f>
        <v>1637</v>
      </c>
      <c r="AI20" s="10">
        <f>COUNTIF(D20:I20,"&gt;0")</f>
        <v>5</v>
      </c>
      <c r="AJ20" s="10">
        <f>IF($B20="",0,VLOOKUP($B20,'Eingabe Mannschaften'!$A$2:$J$28,AJ$1,FALSE))</f>
        <v>0</v>
      </c>
      <c r="AK20" s="10">
        <f>IF(('Eingabe Mannschaften'!$I$29-1)&gt;AI20,1,"")</f>
      </c>
      <c r="AL20" s="10">
        <f>IF('Eingabe Mannschaften'!$I$29=1,0,IF(AI20='Eingabe Mannschaften'!$I$29,1,0))</f>
        <v>0</v>
      </c>
      <c r="AM20" s="10">
        <f>IF(AL20=1,LARGE(D20:I20,1),"")</f>
      </c>
      <c r="AN20" s="10">
        <f>IF(AK20=1,"ADW",IF(AL20=1,SUM(AH20-AM20),AH20))</f>
        <v>1637</v>
      </c>
      <c r="AO20" s="82">
        <f>IF(AND(AI20=1,AL20=1),AH20/9,IF(AK20=1,"",IF(AL20=0,AN20/(AI20)/9,AN20/((AI20)-AL20)/9)))</f>
        <v>36.37777777777777</v>
      </c>
      <c r="AP20" s="10"/>
      <c r="AQ20" s="10"/>
      <c r="AR20" s="83">
        <f>IF(AK20=1,100,RANK(AN20,$AN$18:$AN$28,1))</f>
        <v>8</v>
      </c>
      <c r="AS20" s="83">
        <f>COUNTIF(AR$18:AR20,AR20)</f>
        <v>1</v>
      </c>
      <c r="AT20" s="83">
        <f>AR20+AS20-1</f>
        <v>8</v>
      </c>
      <c r="AU20" s="88">
        <f>IF(AK20=1,2500+(AT20/10000),AN20+(AT20/10000)+(AJ20/10))</f>
        <v>1637.0008</v>
      </c>
      <c r="AV20" s="34">
        <f>A20</f>
        <v>3</v>
      </c>
      <c r="AW20" s="88">
        <f>SMALL(AU$18:AU$28,A20)</f>
        <v>1444.0003</v>
      </c>
      <c r="AX20" s="83">
        <f>VLOOKUP(AW20,AU$18:AV$28,$AX$1,FALSE)</f>
        <v>2</v>
      </c>
      <c r="AY20" s="12">
        <f>A20</f>
        <v>3</v>
      </c>
      <c r="AZ20" s="50">
        <f>IF(VLOOKUP($AX20,$A$18:$AX$28,AZ$1,FALSE),"x",0)</f>
        <v>0</v>
      </c>
      <c r="BA20" s="52" t="str">
        <f t="shared" si="4"/>
        <v>Gelsenkirchen 2</v>
      </c>
      <c r="BB20" s="52" t="str">
        <f t="shared" si="4"/>
        <v>1. MGC Gelsenkirchen</v>
      </c>
      <c r="BC20" s="53">
        <f>VLOOKUP($AX20,$A$18:$AX$28,BC$40,FALSE)</f>
        <v>1444</v>
      </c>
      <c r="BD20" s="53"/>
      <c r="BE20" s="53"/>
      <c r="BF20" s="55">
        <f t="shared" si="5"/>
        <v>306</v>
      </c>
      <c r="BG20" s="56">
        <f t="shared" si="5"/>
        <v>32.08888888888889</v>
      </c>
      <c r="BH20" s="12">
        <f t="shared" si="5"/>
        <v>306</v>
      </c>
      <c r="BI20" s="12">
        <f t="shared" si="5"/>
        <v>288</v>
      </c>
      <c r="BJ20" s="12">
        <f t="shared" si="5"/>
        <v>284</v>
      </c>
      <c r="BK20" s="12">
        <f t="shared" si="5"/>
        <v>300</v>
      </c>
      <c r="BL20" s="12">
        <f t="shared" si="5"/>
        <v>299</v>
      </c>
      <c r="BM20" s="12">
        <f t="shared" si="5"/>
        <v>273</v>
      </c>
    </row>
    <row r="21" spans="1:65" ht="12.75">
      <c r="A21" s="52">
        <v>4</v>
      </c>
      <c r="B21" s="14" t="str">
        <f>VLOOKUP($A21,'Eingabe Mannschaften'!M$2:Q$28,4,FALSE)</f>
        <v>Wesel 2</v>
      </c>
      <c r="C21" s="14" t="str">
        <f>VLOOKUP($A21,'Eingabe Mannschaften'!M$2:Q$28,5,FALSE)</f>
        <v>1.MSC Wesel</v>
      </c>
      <c r="D21" s="10">
        <f>IF($B21="",0,VLOOKUP($B21,'Eingabe Mannschaften'!$A$2:$I$28,D$11,FALSE))</f>
        <v>296</v>
      </c>
      <c r="E21" s="10">
        <f>IF($B21="",0,VLOOKUP($B21,'Eingabe Mannschaften'!$A$2:$I$28,E$11,FALSE))</f>
        <v>284</v>
      </c>
      <c r="F21" s="10">
        <f>IF($B21="",0,VLOOKUP($B21,'Eingabe Mannschaften'!$A$2:$I$28,F$11,FALSE))</f>
        <v>299</v>
      </c>
      <c r="G21" s="10">
        <f>IF($B21="",0,VLOOKUP($B21,'Eingabe Mannschaften'!$A$2:$I$28,G$11,FALSE))</f>
        <v>300</v>
      </c>
      <c r="H21" s="10">
        <f>IF($B21="",0,VLOOKUP($B21,'Eingabe Mannschaften'!$A$2:$I$28,H$11,FALSE))</f>
        <v>287</v>
      </c>
      <c r="I21" s="10">
        <f>IF($B21="",0,VLOOKUP($B21,'Eingabe Mannschaften'!$A$2:$I$28,I$11,FALSE))</f>
        <v>270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f aca="true" t="shared" si="6" ref="AH21:AH26">SUM(D21:I21)</f>
        <v>1736</v>
      </c>
      <c r="AI21" s="10">
        <f aca="true" t="shared" si="7" ref="AI21:AI26">COUNTIF(D21:I21,"&gt;0")</f>
        <v>6</v>
      </c>
      <c r="AJ21" s="10">
        <f>IF($B21="",0,VLOOKUP($B21,'Eingabe Mannschaften'!$A$2:$J$28,AJ$1,FALSE))</f>
        <v>0</v>
      </c>
      <c r="AK21" s="10">
        <f>IF(('Eingabe Mannschaften'!$I$29-1)&gt;AI21,1,"")</f>
      </c>
      <c r="AL21" s="10">
        <f>IF('Eingabe Mannschaften'!$I$29=1,0,IF(AI21='Eingabe Mannschaften'!$I$29,1,0))</f>
        <v>1</v>
      </c>
      <c r="AM21" s="10">
        <f aca="true" t="shared" si="8" ref="AM21:AM26">IF(AL21=1,LARGE(D21:I21,1),"")</f>
        <v>300</v>
      </c>
      <c r="AN21" s="10">
        <f aca="true" t="shared" si="9" ref="AN21:AN26">IF(AK21=1,"ADW",IF(AL21=1,SUM(AH21-AM21),AH21))</f>
        <v>1436</v>
      </c>
      <c r="AO21" s="82">
        <f aca="true" t="shared" si="10" ref="AO21:AO26">IF(AND(AI21=1,AL21=1),AH21/9,IF(AK21=1,"",IF(AL21=0,AN21/(AI21)/9,AN21/((AI21)-AL21)/9)))</f>
        <v>31.91111111111111</v>
      </c>
      <c r="AP21" s="10"/>
      <c r="AQ21" s="10"/>
      <c r="AR21" s="83">
        <f aca="true" t="shared" si="11" ref="AR21:AR26">IF(AK21=1,100,RANK(AN21,$AN$18:$AN$28,1))</f>
        <v>1</v>
      </c>
      <c r="AS21" s="83">
        <f>COUNTIF(AR$18:AR21,AR21)</f>
        <v>1</v>
      </c>
      <c r="AT21" s="83">
        <f aca="true" t="shared" si="12" ref="AT21:AT26">AR21+AS21-1</f>
        <v>1</v>
      </c>
      <c r="AU21" s="88">
        <f aca="true" t="shared" si="13" ref="AU21:AU26">IF(AK21=1,2500+(AT21/10000),AN21+(AT21/10000)+(AJ21/10))</f>
        <v>1436.0001</v>
      </c>
      <c r="AV21" s="34">
        <f aca="true" t="shared" si="14" ref="AV21:AV26">A21</f>
        <v>4</v>
      </c>
      <c r="AW21" s="88">
        <f aca="true" t="shared" si="15" ref="AW21:AW26">SMALL(AU$18:AU$28,A21)</f>
        <v>1471.0004</v>
      </c>
      <c r="AX21" s="83">
        <f aca="true" t="shared" si="16" ref="AX21:AX26">VLOOKUP(AW21,AU$18:AV$28,$AX$1,FALSE)</f>
        <v>1</v>
      </c>
      <c r="AY21" s="12">
        <f aca="true" t="shared" si="17" ref="AY21:AY26">A21</f>
        <v>4</v>
      </c>
      <c r="AZ21" s="50">
        <f aca="true" t="shared" si="18" ref="AZ21:AZ26">IF(VLOOKUP($AX21,$A$18:$AX$28,AZ$1,FALSE),"x",0)</f>
        <v>0</v>
      </c>
      <c r="BA21" s="101" t="str">
        <f t="shared" si="4"/>
        <v>"AS" Witten 3</v>
      </c>
      <c r="BB21" s="101" t="str">
        <f t="shared" si="4"/>
        <v>MGC "AS" Witten</v>
      </c>
      <c r="BC21" s="105">
        <f aca="true" t="shared" si="19" ref="BC21:BC26">VLOOKUP($AX21,$A$18:$AX$28,BC$40,FALSE)</f>
        <v>1471</v>
      </c>
      <c r="BD21" s="105"/>
      <c r="BE21" s="105"/>
      <c r="BF21" s="55">
        <f t="shared" si="5"/>
        <v>307</v>
      </c>
      <c r="BG21" s="56">
        <f t="shared" si="5"/>
        <v>32.68888888888889</v>
      </c>
      <c r="BH21" s="12">
        <f t="shared" si="5"/>
        <v>285</v>
      </c>
      <c r="BI21" s="12">
        <f t="shared" si="5"/>
        <v>291</v>
      </c>
      <c r="BJ21" s="12">
        <f t="shared" si="5"/>
        <v>307</v>
      </c>
      <c r="BK21" s="12">
        <f t="shared" si="5"/>
        <v>288</v>
      </c>
      <c r="BL21" s="12">
        <f t="shared" si="5"/>
        <v>303</v>
      </c>
      <c r="BM21" s="12">
        <f t="shared" si="5"/>
        <v>304</v>
      </c>
    </row>
    <row r="22" spans="1:65" ht="12.75">
      <c r="A22" s="52">
        <v>5</v>
      </c>
      <c r="B22" s="14" t="str">
        <f>VLOOKUP($A22,'Eingabe Mannschaften'!M$2:Q$28,4,FALSE)</f>
        <v>Wesel 3</v>
      </c>
      <c r="C22" s="14" t="str">
        <f>VLOOKUP($A22,'Eingabe Mannschaften'!M$2:Q$28,5,FALSE)</f>
        <v>1.MSC Wesel</v>
      </c>
      <c r="D22" s="10">
        <f>IF($B22="",0,VLOOKUP($B22,'Eingabe Mannschaften'!$A$2:$I$28,D$11,FALSE))</f>
        <v>321</v>
      </c>
      <c r="E22" s="10">
        <f>IF($B22="",0,VLOOKUP($B22,'Eingabe Mannschaften'!$A$2:$I$28,E$11,FALSE))</f>
        <v>0</v>
      </c>
      <c r="F22" s="10">
        <f>IF($B22="",0,VLOOKUP($B22,'Eingabe Mannschaften'!$A$2:$I$28,F$11,FALSE))</f>
        <v>303</v>
      </c>
      <c r="G22" s="10">
        <f>IF($B22="",0,VLOOKUP($B22,'Eingabe Mannschaften'!$A$2:$I$28,G$11,FALSE))</f>
        <v>298</v>
      </c>
      <c r="H22" s="10">
        <f>IF($B22="",0,VLOOKUP($B22,'Eingabe Mannschaften'!$A$2:$I$28,H$11,FALSE))</f>
        <v>306</v>
      </c>
      <c r="I22" s="10">
        <f>IF($B22="",0,VLOOKUP($B22,'Eingabe Mannschaften'!$A$2:$I$28,I$11,FALSE))</f>
        <v>312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f t="shared" si="6"/>
        <v>1540</v>
      </c>
      <c r="AI22" s="10">
        <f t="shared" si="7"/>
        <v>5</v>
      </c>
      <c r="AJ22" s="10">
        <f>IF($B22="",0,VLOOKUP($B22,'Eingabe Mannschaften'!$A$2:$J$28,AJ$1,FALSE))</f>
        <v>0</v>
      </c>
      <c r="AK22" s="10">
        <f>IF(('Eingabe Mannschaften'!$I$29-1)&gt;AI22,1,"")</f>
      </c>
      <c r="AL22" s="10">
        <f>IF('Eingabe Mannschaften'!$I$29=1,0,IF(AI22='Eingabe Mannschaften'!$I$29,1,0))</f>
        <v>0</v>
      </c>
      <c r="AM22" s="10">
        <f t="shared" si="8"/>
      </c>
      <c r="AN22" s="10">
        <f t="shared" si="9"/>
        <v>1540</v>
      </c>
      <c r="AO22" s="82">
        <f t="shared" si="10"/>
        <v>34.22222222222222</v>
      </c>
      <c r="AP22" s="10"/>
      <c r="AQ22" s="10"/>
      <c r="AR22" s="83">
        <f t="shared" si="11"/>
        <v>7</v>
      </c>
      <c r="AS22" s="83">
        <f>COUNTIF(AR$18:AR22,AR22)</f>
        <v>1</v>
      </c>
      <c r="AT22" s="83">
        <f t="shared" si="12"/>
        <v>7</v>
      </c>
      <c r="AU22" s="88">
        <f t="shared" si="13"/>
        <v>1540.0007</v>
      </c>
      <c r="AV22" s="34">
        <f t="shared" si="14"/>
        <v>5</v>
      </c>
      <c r="AW22" s="88">
        <f t="shared" si="15"/>
        <v>1472.0005</v>
      </c>
      <c r="AX22" s="83">
        <f t="shared" si="16"/>
        <v>10</v>
      </c>
      <c r="AY22" s="12">
        <f t="shared" si="17"/>
        <v>5</v>
      </c>
      <c r="AZ22" s="50">
        <f t="shared" si="18"/>
        <v>0</v>
      </c>
      <c r="BA22" s="52" t="str">
        <f t="shared" si="4"/>
        <v>Uerdingen 2</v>
      </c>
      <c r="BB22" s="52" t="str">
        <f t="shared" si="4"/>
        <v>BGC Uerdingen</v>
      </c>
      <c r="BC22" s="53">
        <f t="shared" si="19"/>
        <v>1472</v>
      </c>
      <c r="BD22" s="53"/>
      <c r="BE22" s="53"/>
      <c r="BF22" s="55">
        <f t="shared" si="5"/>
        <v>322</v>
      </c>
      <c r="BG22" s="56">
        <f t="shared" si="5"/>
        <v>32.71111111111111</v>
      </c>
      <c r="BH22" s="12">
        <f t="shared" si="5"/>
        <v>322</v>
      </c>
      <c r="BI22" s="12">
        <f t="shared" si="5"/>
        <v>281</v>
      </c>
      <c r="BJ22" s="12">
        <f t="shared" si="5"/>
        <v>301</v>
      </c>
      <c r="BK22" s="12">
        <f t="shared" si="5"/>
        <v>288</v>
      </c>
      <c r="BL22" s="12">
        <f t="shared" si="5"/>
        <v>306</v>
      </c>
      <c r="BM22" s="12">
        <f t="shared" si="5"/>
        <v>296</v>
      </c>
    </row>
    <row r="23" spans="1:65" ht="12.75">
      <c r="A23" s="52">
        <v>6</v>
      </c>
      <c r="B23" s="14" t="str">
        <f>VLOOKUP($A23,'Eingabe Mannschaften'!M$2:Q$28,4,FALSE)</f>
        <v>Wesel 4</v>
      </c>
      <c r="C23" s="14" t="str">
        <f>VLOOKUP($A23,'Eingabe Mannschaften'!M$2:Q$28,5,FALSE)</f>
        <v>1.MSC Wesel</v>
      </c>
      <c r="D23" s="10">
        <f>IF($B23="",0,VLOOKUP($B23,'Eingabe Mannschaften'!$A$2:$I$28,D$11,FALSE))</f>
        <v>303</v>
      </c>
      <c r="E23" s="10">
        <f>IF($B23="",0,VLOOKUP($B23,'Eingabe Mannschaften'!$A$2:$I$28,E$11,FALSE))</f>
        <v>330</v>
      </c>
      <c r="F23" s="10">
        <f>IF($B23="",0,VLOOKUP($B23,'Eingabe Mannschaften'!$A$2:$I$28,F$11,FALSE))</f>
        <v>322</v>
      </c>
      <c r="G23" s="10">
        <f>IF($B23="",0,VLOOKUP($B23,'Eingabe Mannschaften'!$A$2:$I$28,G$11,FALSE))</f>
        <v>306</v>
      </c>
      <c r="H23" s="10">
        <f>IF($B23="",0,VLOOKUP($B23,'Eingabe Mannschaften'!$A$2:$I$28,H$11,FALSE))</f>
        <v>287</v>
      </c>
      <c r="I23" s="10">
        <f>IF($B23="",0,VLOOKUP($B23,'Eingabe Mannschaften'!$A$2:$I$28,I$11,FALSE))</f>
        <v>319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f t="shared" si="6"/>
        <v>1867</v>
      </c>
      <c r="AI23" s="10">
        <f t="shared" si="7"/>
        <v>6</v>
      </c>
      <c r="AJ23" s="10">
        <f>IF($B23="",0,VLOOKUP($B23,'Eingabe Mannschaften'!$A$2:$J$28,AJ$1,FALSE))</f>
        <v>0</v>
      </c>
      <c r="AK23" s="10">
        <f>IF(('Eingabe Mannschaften'!$I$29-1)&gt;AI23,1,"")</f>
      </c>
      <c r="AL23" s="10">
        <f>IF('Eingabe Mannschaften'!$I$29=1,0,IF(AI23='Eingabe Mannschaften'!$I$29,1,0))</f>
        <v>1</v>
      </c>
      <c r="AM23" s="10">
        <f t="shared" si="8"/>
        <v>330</v>
      </c>
      <c r="AN23" s="10">
        <f t="shared" si="9"/>
        <v>1537</v>
      </c>
      <c r="AO23" s="82">
        <f t="shared" si="10"/>
        <v>34.15555555555555</v>
      </c>
      <c r="AP23" s="10"/>
      <c r="AQ23" s="10"/>
      <c r="AR23" s="83">
        <f t="shared" si="11"/>
        <v>6</v>
      </c>
      <c r="AS23" s="83">
        <f>COUNTIF(AR$18:AR23,AR23)</f>
        <v>1</v>
      </c>
      <c r="AT23" s="83">
        <f t="shared" si="12"/>
        <v>6</v>
      </c>
      <c r="AU23" s="88">
        <f t="shared" si="13"/>
        <v>1537.0006</v>
      </c>
      <c r="AV23" s="34">
        <f t="shared" si="14"/>
        <v>6</v>
      </c>
      <c r="AW23" s="88">
        <f t="shared" si="15"/>
        <v>1537.0006</v>
      </c>
      <c r="AX23" s="83">
        <f t="shared" si="16"/>
        <v>6</v>
      </c>
      <c r="AY23" s="12">
        <f t="shared" si="17"/>
        <v>6</v>
      </c>
      <c r="AZ23" s="50">
        <f t="shared" si="18"/>
        <v>0</v>
      </c>
      <c r="BA23" s="52" t="str">
        <f t="shared" si="4"/>
        <v>Wesel 4</v>
      </c>
      <c r="BB23" s="52" t="str">
        <f t="shared" si="4"/>
        <v>1.MSC Wesel</v>
      </c>
      <c r="BC23" s="53">
        <f t="shared" si="19"/>
        <v>1537</v>
      </c>
      <c r="BD23" s="53"/>
      <c r="BE23" s="53"/>
      <c r="BF23" s="55">
        <f t="shared" si="5"/>
        <v>330</v>
      </c>
      <c r="BG23" s="56">
        <f t="shared" si="5"/>
        <v>34.15555555555555</v>
      </c>
      <c r="BH23" s="12">
        <f t="shared" si="5"/>
        <v>303</v>
      </c>
      <c r="BI23" s="12">
        <f t="shared" si="5"/>
        <v>330</v>
      </c>
      <c r="BJ23" s="12">
        <f t="shared" si="5"/>
        <v>322</v>
      </c>
      <c r="BK23" s="12">
        <f t="shared" si="5"/>
        <v>306</v>
      </c>
      <c r="BL23" s="12">
        <f t="shared" si="5"/>
        <v>287</v>
      </c>
      <c r="BM23" s="12">
        <f t="shared" si="5"/>
        <v>319</v>
      </c>
    </row>
    <row r="24" spans="1:65" ht="12.75">
      <c r="A24" s="52">
        <v>7</v>
      </c>
      <c r="B24" s="14" t="str">
        <f>VLOOKUP($A24,'Eingabe Mannschaften'!M$2:Q$28,4,FALSE)</f>
        <v>Wesel 5</v>
      </c>
      <c r="C24" s="14" t="str">
        <f>VLOOKUP($A24,'Eingabe Mannschaften'!M$2:Q$28,5,FALSE)</f>
        <v>1.MSC Wesel</v>
      </c>
      <c r="D24" s="10">
        <f>IF($B24="",0,VLOOKUP($B24,'Eingabe Mannschaften'!$A$2:$I$28,D$11,FALSE))</f>
        <v>392</v>
      </c>
      <c r="E24" s="10">
        <f>IF($B24="",0,VLOOKUP($B24,'Eingabe Mannschaften'!$A$2:$I$28,E$11,FALSE))</f>
        <v>0</v>
      </c>
      <c r="F24" s="10">
        <f>IF($B24="",0,VLOOKUP($B24,'Eingabe Mannschaften'!$A$2:$I$28,F$11,FALSE))</f>
        <v>0</v>
      </c>
      <c r="G24" s="10">
        <f>IF($B24="",0,VLOOKUP($B24,'Eingabe Mannschaften'!$A$2:$I$28,G$11,FALSE))</f>
        <v>0</v>
      </c>
      <c r="H24" s="10">
        <f>IF($B24="",0,VLOOKUP($B24,'Eingabe Mannschaften'!$A$2:$I$28,H$11,FALSE))</f>
        <v>0</v>
      </c>
      <c r="I24" s="10">
        <f>IF($B24="",0,VLOOKUP($B24,'Eingabe Mannschaften'!$A$2:$I$28,I$11,FALSE))</f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f t="shared" si="6"/>
        <v>392</v>
      </c>
      <c r="AI24" s="10">
        <f t="shared" si="7"/>
        <v>1</v>
      </c>
      <c r="AJ24" s="10">
        <f>IF($B24="",0,VLOOKUP($B24,'Eingabe Mannschaften'!$A$2:$J$28,AJ$1,FALSE))</f>
        <v>0</v>
      </c>
      <c r="AK24" s="10">
        <f>IF(('Eingabe Mannschaften'!$I$29-1)&gt;AI24,1,"")</f>
        <v>1</v>
      </c>
      <c r="AL24" s="10">
        <f>IF('Eingabe Mannschaften'!$I$29=1,0,IF(AI24='Eingabe Mannschaften'!$I$29,1,0))</f>
        <v>0</v>
      </c>
      <c r="AM24" s="10">
        <f t="shared" si="8"/>
      </c>
      <c r="AN24" s="10" t="str">
        <f t="shared" si="9"/>
        <v>ADW</v>
      </c>
      <c r="AO24" s="82">
        <f t="shared" si="10"/>
      </c>
      <c r="AP24" s="10"/>
      <c r="AQ24" s="10"/>
      <c r="AR24" s="83">
        <f t="shared" si="11"/>
        <v>100</v>
      </c>
      <c r="AS24" s="83">
        <f>COUNTIF(AR$18:AR24,AR24)</f>
        <v>1</v>
      </c>
      <c r="AT24" s="83">
        <f t="shared" si="12"/>
        <v>100</v>
      </c>
      <c r="AU24" s="88">
        <f t="shared" si="13"/>
        <v>2500.01</v>
      </c>
      <c r="AV24" s="34">
        <f t="shared" si="14"/>
        <v>7</v>
      </c>
      <c r="AW24" s="88">
        <f t="shared" si="15"/>
        <v>1540.0007</v>
      </c>
      <c r="AX24" s="83">
        <f t="shared" si="16"/>
        <v>5</v>
      </c>
      <c r="AY24" s="12">
        <f t="shared" si="17"/>
        <v>7</v>
      </c>
      <c r="AZ24" s="50">
        <f t="shared" si="18"/>
        <v>0</v>
      </c>
      <c r="BA24" s="52" t="str">
        <f t="shared" si="4"/>
        <v>Wesel 3</v>
      </c>
      <c r="BB24" s="52" t="str">
        <f t="shared" si="4"/>
        <v>1.MSC Wesel</v>
      </c>
      <c r="BC24" s="53">
        <f t="shared" si="19"/>
        <v>1540</v>
      </c>
      <c r="BD24" s="53"/>
      <c r="BE24" s="53"/>
      <c r="BF24" s="55">
        <f t="shared" si="5"/>
      </c>
      <c r="BG24" s="56">
        <f t="shared" si="5"/>
        <v>34.22222222222222</v>
      </c>
      <c r="BH24" s="12">
        <f t="shared" si="5"/>
        <v>321</v>
      </c>
      <c r="BI24" s="12">
        <f t="shared" si="5"/>
        <v>0</v>
      </c>
      <c r="BJ24" s="12">
        <f t="shared" si="5"/>
        <v>303</v>
      </c>
      <c r="BK24" s="12">
        <f t="shared" si="5"/>
        <v>298</v>
      </c>
      <c r="BL24" s="12">
        <f t="shared" si="5"/>
        <v>306</v>
      </c>
      <c r="BM24" s="12">
        <f t="shared" si="5"/>
        <v>312</v>
      </c>
    </row>
    <row r="25" spans="1:65" ht="12.75">
      <c r="A25" s="52">
        <v>8</v>
      </c>
      <c r="B25" s="14" t="str">
        <f>VLOOKUP($A25,'Eingabe Mannschaften'!M$2:Q$28,4,FALSE)</f>
        <v>Neviges 2</v>
      </c>
      <c r="C25" s="14" t="str">
        <f>VLOOKUP($A25,'Eingabe Mannschaften'!M$2:Q$28,5,FALSE)</f>
        <v>MGC Neviges</v>
      </c>
      <c r="D25" s="10">
        <f>IF($B25="",0,VLOOKUP($B25,'Eingabe Mannschaften'!$A$2:$I$28,D$11,FALSE))</f>
        <v>309</v>
      </c>
      <c r="E25" s="10">
        <f>IF($B25="",0,VLOOKUP($B25,'Eingabe Mannschaften'!$A$2:$I$28,E$11,FALSE))</f>
        <v>280</v>
      </c>
      <c r="F25" s="10">
        <f>IF($B25="",0,VLOOKUP($B25,'Eingabe Mannschaften'!$A$2:$I$28,F$11,FALSE))</f>
        <v>287</v>
      </c>
      <c r="G25" s="10">
        <f>IF($B25="",0,VLOOKUP($B25,'Eingabe Mannschaften'!$A$2:$I$28,G$11,FALSE))</f>
        <v>306</v>
      </c>
      <c r="H25" s="10">
        <f>IF($B25="",0,VLOOKUP($B25,'Eingabe Mannschaften'!$A$2:$I$28,H$11,FALSE))</f>
        <v>267</v>
      </c>
      <c r="I25" s="10">
        <f>IF($B25="",0,VLOOKUP($B25,'Eingabe Mannschaften'!$A$2:$I$28,I$11,FALSE))</f>
        <v>299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>
        <f t="shared" si="6"/>
        <v>1748</v>
      </c>
      <c r="AI25" s="10">
        <f t="shared" si="7"/>
        <v>6</v>
      </c>
      <c r="AJ25" s="10">
        <f>IF($B25="",0,VLOOKUP($B25,'Eingabe Mannschaften'!$A$2:$J$28,AJ$1,FALSE))</f>
        <v>0</v>
      </c>
      <c r="AK25" s="10">
        <f>IF(('Eingabe Mannschaften'!$I$29-1)&gt;AI25,1,"")</f>
      </c>
      <c r="AL25" s="10">
        <f>IF('Eingabe Mannschaften'!$I$29=1,0,IF(AI25='Eingabe Mannschaften'!$I$29,1,0))</f>
        <v>1</v>
      </c>
      <c r="AM25" s="10">
        <f t="shared" si="8"/>
        <v>309</v>
      </c>
      <c r="AN25" s="10">
        <f t="shared" si="9"/>
        <v>1439</v>
      </c>
      <c r="AO25" s="82">
        <f t="shared" si="10"/>
        <v>31.977777777777778</v>
      </c>
      <c r="AP25" s="10"/>
      <c r="AQ25" s="10"/>
      <c r="AR25" s="83">
        <f t="shared" si="11"/>
        <v>2</v>
      </c>
      <c r="AS25" s="83">
        <f>COUNTIF(AR$18:AR25,AR25)</f>
        <v>1</v>
      </c>
      <c r="AT25" s="83">
        <f t="shared" si="12"/>
        <v>2</v>
      </c>
      <c r="AU25" s="88">
        <f t="shared" si="13"/>
        <v>1439.0002</v>
      </c>
      <c r="AV25" s="34">
        <f t="shared" si="14"/>
        <v>8</v>
      </c>
      <c r="AW25" s="88">
        <f t="shared" si="15"/>
        <v>1637.0008</v>
      </c>
      <c r="AX25" s="83">
        <f t="shared" si="16"/>
        <v>3</v>
      </c>
      <c r="AY25" s="12">
        <f t="shared" si="17"/>
        <v>8</v>
      </c>
      <c r="AZ25" s="50">
        <f t="shared" si="18"/>
        <v>0</v>
      </c>
      <c r="BA25" s="52" t="str">
        <f t="shared" si="4"/>
        <v>Gelsenkirchen 3</v>
      </c>
      <c r="BB25" s="52" t="str">
        <f t="shared" si="4"/>
        <v>1. MGC Gelsenkirchen</v>
      </c>
      <c r="BC25" s="53">
        <f t="shared" si="19"/>
        <v>1637</v>
      </c>
      <c r="BD25" s="53"/>
      <c r="BE25" s="53"/>
      <c r="BF25" s="55">
        <f t="shared" si="5"/>
      </c>
      <c r="BG25" s="56">
        <f t="shared" si="5"/>
        <v>36.37777777777777</v>
      </c>
      <c r="BH25" s="12">
        <f t="shared" si="5"/>
        <v>353</v>
      </c>
      <c r="BI25" s="12">
        <f t="shared" si="5"/>
        <v>323</v>
      </c>
      <c r="BJ25" s="12">
        <f t="shared" si="5"/>
        <v>308</v>
      </c>
      <c r="BK25" s="12">
        <f t="shared" si="5"/>
        <v>342</v>
      </c>
      <c r="BL25" s="12">
        <f t="shared" si="5"/>
        <v>0</v>
      </c>
      <c r="BM25" s="12">
        <f t="shared" si="5"/>
        <v>311</v>
      </c>
    </row>
    <row r="26" spans="1:65" ht="12.75" hidden="1">
      <c r="A26" s="52">
        <v>9</v>
      </c>
      <c r="B26" s="14" t="str">
        <f>VLOOKUP($A26,'Eingabe Mannschaften'!M$2:Q$28,4,FALSE)</f>
        <v>Neviges 3</v>
      </c>
      <c r="C26" s="14" t="str">
        <f>VLOOKUP($A26,'Eingabe Mannschaften'!M$2:Q$28,5,FALSE)</f>
        <v>MGC Neviges</v>
      </c>
      <c r="D26" s="10">
        <f>IF($B26="",0,VLOOKUP($B26,'Eingabe Mannschaften'!$A$2:$I$28,D$11,FALSE))</f>
        <v>302</v>
      </c>
      <c r="E26" s="10">
        <f>IF($B26="",0,VLOOKUP($B26,'Eingabe Mannschaften'!$A$2:$I$28,E$11,FALSE))</f>
        <v>311</v>
      </c>
      <c r="F26" s="10">
        <f>IF($B26="",0,VLOOKUP($B26,'Eingabe Mannschaften'!$A$2:$I$28,F$11,FALSE))</f>
        <v>0</v>
      </c>
      <c r="G26" s="10">
        <f>IF($B26="",0,VLOOKUP($B26,'Eingabe Mannschaften'!$A$2:$I$28,G$11,FALSE))</f>
        <v>0</v>
      </c>
      <c r="H26" s="10">
        <f>IF($B26="",0,VLOOKUP($B26,'Eingabe Mannschaften'!$A$2:$I$28,H$11,FALSE))</f>
        <v>0</v>
      </c>
      <c r="I26" s="10">
        <f>IF($B26="",0,VLOOKUP($B26,'Eingabe Mannschaften'!$A$2:$I$28,I$11,FALSE))</f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f t="shared" si="6"/>
        <v>613</v>
      </c>
      <c r="AI26" s="10">
        <f t="shared" si="7"/>
        <v>2</v>
      </c>
      <c r="AJ26" s="10">
        <f>IF($B26="",0,VLOOKUP($B26,'Eingabe Mannschaften'!$A$2:$J$28,AJ$1,FALSE))</f>
        <v>0</v>
      </c>
      <c r="AK26" s="10">
        <f>IF(('Eingabe Mannschaften'!$I$29-1)&gt;AI26,1,"")</f>
        <v>1</v>
      </c>
      <c r="AL26" s="10">
        <f>IF('Eingabe Mannschaften'!$I$29=1,0,IF(AI26='Eingabe Mannschaften'!$I$29,1,0))</f>
        <v>0</v>
      </c>
      <c r="AM26" s="10">
        <f t="shared" si="8"/>
      </c>
      <c r="AN26" s="10" t="str">
        <f t="shared" si="9"/>
        <v>ADW</v>
      </c>
      <c r="AO26" s="82">
        <f t="shared" si="10"/>
      </c>
      <c r="AP26" s="10"/>
      <c r="AQ26" s="10"/>
      <c r="AR26" s="83">
        <f t="shared" si="11"/>
        <v>100</v>
      </c>
      <c r="AS26" s="83">
        <f>COUNTIF(AR$18:AR26,AR26)</f>
        <v>2</v>
      </c>
      <c r="AT26" s="83">
        <f t="shared" si="12"/>
        <v>101</v>
      </c>
      <c r="AU26" s="88">
        <f t="shared" si="13"/>
        <v>2500.0101</v>
      </c>
      <c r="AV26" s="34">
        <f t="shared" si="14"/>
        <v>9</v>
      </c>
      <c r="AW26" s="88">
        <f t="shared" si="15"/>
        <v>2499.9999</v>
      </c>
      <c r="AX26" s="83">
        <f t="shared" si="16"/>
        <v>11</v>
      </c>
      <c r="AY26" s="12">
        <f t="shared" si="17"/>
        <v>9</v>
      </c>
      <c r="AZ26" s="50">
        <f t="shared" si="18"/>
        <v>0</v>
      </c>
      <c r="BA26" s="52" t="str">
        <f t="shared" si="4"/>
        <v>Uerdingen 3</v>
      </c>
      <c r="BB26" s="52" t="str">
        <f t="shared" si="4"/>
        <v>BGC Uerdingen</v>
      </c>
      <c r="BC26" s="53" t="str">
        <f t="shared" si="19"/>
        <v>ADW</v>
      </c>
      <c r="BD26" s="53"/>
      <c r="BE26" s="53"/>
      <c r="BF26" s="55">
        <f t="shared" si="5"/>
      </c>
      <c r="BG26" s="56">
        <f t="shared" si="5"/>
      </c>
      <c r="BH26" s="12">
        <f t="shared" si="5"/>
        <v>340</v>
      </c>
      <c r="BI26" s="12">
        <f t="shared" si="5"/>
        <v>306</v>
      </c>
      <c r="BJ26" s="12">
        <f t="shared" si="5"/>
        <v>0</v>
      </c>
      <c r="BK26" s="12">
        <f t="shared" si="5"/>
        <v>0</v>
      </c>
      <c r="BL26" s="12">
        <f t="shared" si="5"/>
        <v>0</v>
      </c>
      <c r="BM26" s="12">
        <f t="shared" si="5"/>
        <v>0</v>
      </c>
    </row>
    <row r="27" spans="1:65" ht="12.75" hidden="1">
      <c r="A27" s="52">
        <v>10</v>
      </c>
      <c r="B27" s="14" t="str">
        <f>VLOOKUP($A27,'Eingabe Mannschaften'!M$2:Q$28,4,FALSE)</f>
        <v>Uerdingen 2</v>
      </c>
      <c r="C27" s="14" t="str">
        <f>VLOOKUP($A27,'Eingabe Mannschaften'!M$2:Q$28,5,FALSE)</f>
        <v>BGC Uerdingen</v>
      </c>
      <c r="D27" s="10">
        <f>IF($B27="",0,VLOOKUP($B27,'Eingabe Mannschaften'!$A$2:$I$28,D$11,FALSE))</f>
        <v>322</v>
      </c>
      <c r="E27" s="10">
        <f>IF($B27="",0,VLOOKUP($B27,'Eingabe Mannschaften'!$A$2:$I$28,E$11,FALSE))</f>
        <v>281</v>
      </c>
      <c r="F27" s="10">
        <f>IF($B27="",0,VLOOKUP($B27,'Eingabe Mannschaften'!$A$2:$I$28,F$11,FALSE))</f>
        <v>301</v>
      </c>
      <c r="G27" s="10">
        <f>IF($B27="",0,VLOOKUP($B27,'Eingabe Mannschaften'!$A$2:$I$28,G$11,FALSE))</f>
        <v>288</v>
      </c>
      <c r="H27" s="10">
        <f>IF($B27="",0,VLOOKUP($B27,'Eingabe Mannschaften'!$A$2:$I$28,H$11,FALSE))</f>
        <v>306</v>
      </c>
      <c r="I27" s="10">
        <f>IF($B27="",0,VLOOKUP($B27,'Eingabe Mannschaften'!$A$2:$I$28,I$11,FALSE))</f>
        <v>296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>SUM(D27:I27)</f>
        <v>1794</v>
      </c>
      <c r="AI27" s="10">
        <f>COUNTIF(D27:I27,"&gt;0")</f>
        <v>6</v>
      </c>
      <c r="AJ27" s="10">
        <f>IF($B27="",0,VLOOKUP($B27,'Eingabe Mannschaften'!$A$2:$J$28,AJ$1,FALSE))</f>
        <v>0</v>
      </c>
      <c r="AK27" s="10">
        <f>IF(('Eingabe Mannschaften'!$I$29-1)&gt;AI27,1,"")</f>
      </c>
      <c r="AL27" s="10">
        <f>IF('Eingabe Mannschaften'!$I$29=1,0,IF(AI27='Eingabe Mannschaften'!$I$29,1,0))</f>
        <v>1</v>
      </c>
      <c r="AM27" s="10">
        <f>IF(AL27=1,LARGE(D27:I27,1),"")</f>
        <v>322</v>
      </c>
      <c r="AN27" s="10">
        <f>IF(AK27=1,"ADW",IF(AL27=1,SUM(AH27-AM27),AH27))</f>
        <v>1472</v>
      </c>
      <c r="AO27" s="82">
        <f>IF(AND(AI27=1,AL27=1),AH27/9,IF(AK27=1,"",IF(AL27=0,AN27/(AI27)/9,AN27/((AI27)-AL27)/9)))</f>
        <v>32.71111111111111</v>
      </c>
      <c r="AP27" s="10"/>
      <c r="AQ27" s="10"/>
      <c r="AR27" s="83">
        <f>IF(AK27=1,100,RANK(AN27,$AN$18:$AN$28,1))</f>
        <v>5</v>
      </c>
      <c r="AS27" s="83">
        <f>COUNTIF(AR$18:AR27,AR27)</f>
        <v>1</v>
      </c>
      <c r="AT27" s="83">
        <f>AR27+AS27-1</f>
        <v>5</v>
      </c>
      <c r="AU27" s="88">
        <f>IF(AK27=1,2500+(AT27/10000),AN27+(AT27/10000)+(AJ27/10))</f>
        <v>1472.0005</v>
      </c>
      <c r="AV27" s="34">
        <f>A27</f>
        <v>10</v>
      </c>
      <c r="AW27" s="88">
        <f>SMALL(AU$18:AU$28,A27)</f>
        <v>2500.01</v>
      </c>
      <c r="AX27" s="83">
        <f>VLOOKUP(AW27,AU$18:AV$28,$AX$1,FALSE)</f>
        <v>7</v>
      </c>
      <c r="AY27" s="12">
        <f>A27</f>
        <v>10</v>
      </c>
      <c r="AZ27" s="50">
        <f>IF(VLOOKUP($AX27,$A$18:$AX$28,AZ$1,FALSE),"x",0)</f>
        <v>0</v>
      </c>
      <c r="BA27" s="52" t="str">
        <f t="shared" si="4"/>
        <v>Wesel 5</v>
      </c>
      <c r="BB27" s="52" t="str">
        <f t="shared" si="4"/>
        <v>1.MSC Wesel</v>
      </c>
      <c r="BC27" s="53" t="str">
        <f>VLOOKUP($AX27,$A$18:$AX$28,BC$40,FALSE)</f>
        <v>ADW</v>
      </c>
      <c r="BD27" s="53"/>
      <c r="BE27" s="53"/>
      <c r="BF27" s="55">
        <f t="shared" si="5"/>
      </c>
      <c r="BG27" s="56">
        <f t="shared" si="5"/>
      </c>
      <c r="BH27" s="12">
        <f t="shared" si="5"/>
        <v>392</v>
      </c>
      <c r="BI27" s="12">
        <f t="shared" si="5"/>
        <v>0</v>
      </c>
      <c r="BJ27" s="12">
        <f t="shared" si="5"/>
        <v>0</v>
      </c>
      <c r="BK27" s="12">
        <f t="shared" si="5"/>
        <v>0</v>
      </c>
      <c r="BL27" s="12">
        <f t="shared" si="5"/>
        <v>0</v>
      </c>
      <c r="BM27" s="12">
        <f t="shared" si="5"/>
        <v>0</v>
      </c>
    </row>
    <row r="28" spans="1:65" ht="12.75" hidden="1">
      <c r="A28" s="52">
        <v>11</v>
      </c>
      <c r="B28" s="14" t="str">
        <f>VLOOKUP($A28,'Eingabe Mannschaften'!M$2:Q$28,4,FALSE)</f>
        <v>Uerdingen 3</v>
      </c>
      <c r="C28" s="14" t="str">
        <f>VLOOKUP($A28,'Eingabe Mannschaften'!M$2:Q$28,5,FALSE)</f>
        <v>BGC Uerdingen</v>
      </c>
      <c r="D28" s="10">
        <f>IF($B28="",0,VLOOKUP($B28,'Eingabe Mannschaften'!$A$2:$I$28,D$11,FALSE))</f>
        <v>340</v>
      </c>
      <c r="E28" s="10">
        <f>IF($B28="",0,VLOOKUP($B28,'Eingabe Mannschaften'!$A$2:$I$28,E$11,FALSE))</f>
        <v>306</v>
      </c>
      <c r="F28" s="10">
        <f>IF($B28="",0,VLOOKUP($B28,'Eingabe Mannschaften'!$A$2:$I$28,F$11,FALSE))</f>
        <v>0</v>
      </c>
      <c r="G28" s="10">
        <f>IF($B28="",0,VLOOKUP($B28,'Eingabe Mannschaften'!$A$2:$I$28,G$11,FALSE))</f>
        <v>0</v>
      </c>
      <c r="H28" s="10">
        <f>IF($B28="",0,VLOOKUP($B28,'Eingabe Mannschaften'!$A$2:$I$28,H$11,FALSE))</f>
        <v>0</v>
      </c>
      <c r="I28" s="10">
        <f>IF($B28="",0,VLOOKUP($B28,'Eingabe Mannschaften'!$A$2:$I$28,I$11,FALSE))</f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f>SUM(D28:I28)</f>
        <v>646</v>
      </c>
      <c r="AI28" s="10">
        <f>COUNTIF(D28:I28,"&gt;0")</f>
        <v>2</v>
      </c>
      <c r="AJ28" s="10">
        <f>IF($B28="",0,VLOOKUP($B28,'Eingabe Mannschaften'!$A$2:$J$28,AJ$1,FALSE))</f>
        <v>0</v>
      </c>
      <c r="AK28" s="10">
        <f>IF(('Eingabe Mannschaften'!$I$29-1)&gt;AI28,1,"")</f>
        <v>1</v>
      </c>
      <c r="AL28" s="10">
        <f>IF('Eingabe Mannschaften'!$I$29=1,0,IF(AI28='Eingabe Mannschaften'!$I$29,1,0))</f>
        <v>0</v>
      </c>
      <c r="AM28" s="10">
        <f>IF(AL28=1,LARGE(D28:I28,1),"")</f>
      </c>
      <c r="AN28" s="10" t="str">
        <f>IF(AK28=1,"ADW",IF(AL28=1,SUM(AH28-AM28),AH28))</f>
        <v>ADW</v>
      </c>
      <c r="AO28" s="82">
        <f>IF(AND(AI28=1,AL28=1),AH28/9,IF(AK28=1,"",IF(AL28=0,AN28/(AI28)/9,AN28/((AI28)-AL28)/9)))</f>
      </c>
      <c r="AP28" s="10"/>
      <c r="AQ28" s="10"/>
      <c r="AR28" s="83"/>
      <c r="AS28" s="83">
        <f>COUNTIF(AR$18:AR28,AR28)</f>
        <v>0</v>
      </c>
      <c r="AT28" s="83">
        <f>AR28+AS28-1</f>
        <v>-1</v>
      </c>
      <c r="AU28" s="88">
        <f>IF(AK28=1,2500+(AT28/10000),AN28+(AT28/10000)+(AJ28/10))</f>
        <v>2499.9999</v>
      </c>
      <c r="AV28" s="34">
        <f>A28</f>
        <v>11</v>
      </c>
      <c r="AW28" s="88">
        <f>SMALL(AU$18:AU$28,A28)</f>
        <v>2500.0101</v>
      </c>
      <c r="AX28" s="83">
        <f>VLOOKUP(AW28,AU$18:AV$28,$AX$1,FALSE)</f>
        <v>9</v>
      </c>
      <c r="AY28" s="12">
        <f>A28</f>
        <v>11</v>
      </c>
      <c r="AZ28" s="50">
        <f>IF(VLOOKUP($AX28,$A$18:$AX$28,AZ$1,FALSE),"x",0)</f>
        <v>0</v>
      </c>
      <c r="BA28" s="52" t="str">
        <f t="shared" si="4"/>
        <v>Neviges 3</v>
      </c>
      <c r="BB28" s="52" t="str">
        <f t="shared" si="4"/>
        <v>MGC Neviges</v>
      </c>
      <c r="BC28" s="53" t="str">
        <f>VLOOKUP($AX28,$A$18:$AX$28,BC$40,FALSE)</f>
        <v>ADW</v>
      </c>
      <c r="BD28" s="53"/>
      <c r="BE28" s="53"/>
      <c r="BF28" s="55">
        <f t="shared" si="5"/>
      </c>
      <c r="BG28" s="56">
        <f t="shared" si="5"/>
      </c>
      <c r="BH28" s="12">
        <f t="shared" si="5"/>
        <v>302</v>
      </c>
      <c r="BI28" s="12">
        <f t="shared" si="5"/>
        <v>311</v>
      </c>
      <c r="BJ28" s="12">
        <f t="shared" si="5"/>
        <v>0</v>
      </c>
      <c r="BK28" s="12">
        <f t="shared" si="5"/>
        <v>0</v>
      </c>
      <c r="BL28" s="12">
        <f t="shared" si="5"/>
        <v>0</v>
      </c>
      <c r="BM28" s="12">
        <f t="shared" si="5"/>
        <v>0</v>
      </c>
    </row>
    <row r="29" spans="2:65" ht="12.75">
      <c r="B29" s="14"/>
      <c r="C29" s="14"/>
      <c r="AU29" s="89"/>
      <c r="AW29" s="89"/>
      <c r="AY29" s="1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</row>
    <row r="30" spans="2:52" ht="12.75" hidden="1">
      <c r="B30" s="87" t="s">
        <v>70</v>
      </c>
      <c r="AU30" s="89"/>
      <c r="AW30" s="89"/>
      <c r="AY30" s="90" t="str">
        <f>B30</f>
        <v>Jugend-Mannschaften</v>
      </c>
      <c r="AZ30" s="79"/>
    </row>
    <row r="31" spans="1:65" ht="12.75" hidden="1">
      <c r="A31" s="52">
        <v>1</v>
      </c>
      <c r="B31" s="14" t="e">
        <f>VLOOKUP($A31,'Eingabe Mannschaften'!N$2:Q$28,3,FALSE)</f>
        <v>#N/A</v>
      </c>
      <c r="C31" s="14" t="e">
        <f>VLOOKUP($A31,'Eingabe Mannschaften'!N$2:Q$28,4,FALSE)</f>
        <v>#N/A</v>
      </c>
      <c r="D31" s="10" t="e">
        <f>IF($B31="",0,VLOOKUP($B31,'Eingabe Mannschaften'!$A$2:$I$28,D$11,FALSE))</f>
        <v>#N/A</v>
      </c>
      <c r="E31" s="10" t="e">
        <f>IF($B31="",0,VLOOKUP($B31,'Eingabe Mannschaften'!$A$2:$I$28,E$11,FALSE))</f>
        <v>#N/A</v>
      </c>
      <c r="F31" s="10" t="e">
        <f>IF($B31="",0,VLOOKUP($B31,'Eingabe Mannschaften'!$A$2:$I$28,F$11,FALSE))</f>
        <v>#N/A</v>
      </c>
      <c r="G31" s="10" t="e">
        <f>IF($B31="",0,VLOOKUP($B31,'Eingabe Mannschaften'!$A$2:$I$28,G$11,FALSE))</f>
        <v>#N/A</v>
      </c>
      <c r="H31" s="10" t="e">
        <f>IF($B31="",0,VLOOKUP($B31,'Eingabe Mannschaften'!$A$2:$I$28,H$11,FALSE))</f>
        <v>#N/A</v>
      </c>
      <c r="I31" s="10" t="e">
        <f>IF($B31="",0,VLOOKUP($B31,'Eingabe Mannschaften'!$A$2:$I$28,I$11,FALSE))</f>
        <v>#N/A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 t="e">
        <f>SUM(D31:I31)</f>
        <v>#N/A</v>
      </c>
      <c r="AI31" s="10">
        <f>COUNTIF(D31:I31,"&gt;0")</f>
        <v>0</v>
      </c>
      <c r="AJ31" s="10" t="e">
        <f>IF($B31="",0,VLOOKUP($B31,'Eingabe Mannschaften'!$A$2:$J$28,AJ$1,FALSE))</f>
        <v>#N/A</v>
      </c>
      <c r="AK31" s="10">
        <f>IF(('Eingabe Mannschaften'!$I$29-1)&gt;AI31,1,"")</f>
        <v>1</v>
      </c>
      <c r="AL31" s="10">
        <f>IF('Eingabe Mannschaften'!$I$29=1,0,IF(AI31='Eingabe Mannschaften'!$I$29,1,0))</f>
        <v>0</v>
      </c>
      <c r="AM31" s="10">
        <f>IF(AL31=1,LARGE(D31:I31,1),"")</f>
      </c>
      <c r="AN31" s="10" t="str">
        <f>IF(AK31=1,"ADW",IF(AL31=1,SUM(AH31-AM31),AH31))</f>
        <v>ADW</v>
      </c>
      <c r="AO31" s="82">
        <f>IF(AND(AI31=1,AL31=1),AH31/9,IF(AK31=1,"",IF(AL31=0,AN31/AI31/9,AN31/(AI31-AL31)/9)))</f>
      </c>
      <c r="AP31" s="10"/>
      <c r="AQ31" s="10"/>
      <c r="AR31" s="83">
        <f>IF(AK31=1,100,RANK(AN31,$AN$31:$AN$32,1))</f>
        <v>100</v>
      </c>
      <c r="AS31" s="83">
        <f>COUNTIF(AR$31:AR31,AR31)</f>
        <v>1</v>
      </c>
      <c r="AT31" s="83">
        <f>AR31+AS31-1</f>
        <v>100</v>
      </c>
      <c r="AU31" s="88">
        <f>IF(AK31=1,2500+(AT31/10000),AN31+(AT31/10000)+(AJ31/10))</f>
        <v>2500.01</v>
      </c>
      <c r="AV31" s="34">
        <f>A31</f>
        <v>1</v>
      </c>
      <c r="AW31" s="88">
        <f>SMALL(AU$31:AU$32,A31)</f>
        <v>2500.01</v>
      </c>
      <c r="AX31" s="83">
        <f>VLOOKUP(AW31,AU$31:AV$32,$AX$1,FALSE)</f>
        <v>1</v>
      </c>
      <c r="AY31" s="34">
        <f>A31</f>
        <v>1</v>
      </c>
      <c r="AZ31" s="50" t="e">
        <f>IF(VLOOKUP($AX31,$A$31:$AX$32,AZ$1,FALSE),"x",0)</f>
        <v>#N/A</v>
      </c>
      <c r="BA31" s="9" t="e">
        <f>VLOOKUP($AX31,$A$31:$AX$32,BA$1,FALSE)</f>
        <v>#N/A</v>
      </c>
      <c r="BB31" s="9" t="e">
        <f>VLOOKUP($AX31,$A$31:$AX$32,BB$1,FALSE)</f>
        <v>#N/A</v>
      </c>
      <c r="BC31" s="91" t="str">
        <f>VLOOKUP($AX31,$A$31:$AX$32,BC$40,FALSE)</f>
        <v>ADW</v>
      </c>
      <c r="BD31" s="91"/>
      <c r="BE31" s="91"/>
      <c r="BF31" s="83">
        <f aca="true" t="shared" si="20" ref="BF31:BM32">VLOOKUP($AX31,$A$31:$AX$32,BF$40,FALSE)</f>
      </c>
      <c r="BG31" s="82">
        <f t="shared" si="20"/>
      </c>
      <c r="BH31" s="10" t="e">
        <f t="shared" si="20"/>
        <v>#N/A</v>
      </c>
      <c r="BI31" s="10" t="e">
        <f t="shared" si="20"/>
        <v>#N/A</v>
      </c>
      <c r="BJ31" s="10" t="e">
        <f t="shared" si="20"/>
        <v>#N/A</v>
      </c>
      <c r="BK31" s="10" t="e">
        <f t="shared" si="20"/>
        <v>#N/A</v>
      </c>
      <c r="BL31" s="10" t="e">
        <f t="shared" si="20"/>
        <v>#N/A</v>
      </c>
      <c r="BM31" s="10" t="e">
        <f t="shared" si="20"/>
        <v>#N/A</v>
      </c>
    </row>
    <row r="32" spans="1:65" ht="12.75" hidden="1">
      <c r="A32" s="52">
        <v>2</v>
      </c>
      <c r="B32" s="14" t="e">
        <f>VLOOKUP($A32,'Eingabe Mannschaften'!N$2:Q$28,3,FALSE)</f>
        <v>#N/A</v>
      </c>
      <c r="C32" s="14" t="e">
        <f>VLOOKUP($A32,'Eingabe Mannschaften'!N$2:Q$28,4,FALSE)</f>
        <v>#N/A</v>
      </c>
      <c r="D32" s="10" t="e">
        <f>IF($B32="",0,VLOOKUP($B32,'Eingabe Mannschaften'!$A$2:$I$28,D$11,FALSE))</f>
        <v>#N/A</v>
      </c>
      <c r="E32" s="10" t="e">
        <f>IF($B32="",0,VLOOKUP($B32,'Eingabe Mannschaften'!$A$2:$I$28,E$11,FALSE))</f>
        <v>#N/A</v>
      </c>
      <c r="F32" s="10" t="e">
        <f>IF($B32="",0,VLOOKUP($B32,'Eingabe Mannschaften'!$A$2:$I$28,F$11,FALSE))</f>
        <v>#N/A</v>
      </c>
      <c r="G32" s="10" t="e">
        <f>IF($B32="",0,VLOOKUP($B32,'Eingabe Mannschaften'!$A$2:$I$28,G$11,FALSE))</f>
        <v>#N/A</v>
      </c>
      <c r="H32" s="10" t="e">
        <f>IF($B32="",0,VLOOKUP($B32,'Eingabe Mannschaften'!$A$2:$I$28,H$11,FALSE))</f>
        <v>#N/A</v>
      </c>
      <c r="I32" s="10" t="e">
        <f>IF($B32="",0,VLOOKUP($B32,'Eingabe Mannschaften'!$A$2:$I$28,I$11,FALSE))</f>
        <v>#N/A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 t="e">
        <f>SUM(D32:I32)</f>
        <v>#N/A</v>
      </c>
      <c r="AI32" s="10">
        <f>COUNTIF(D32:I32,"&gt;0")</f>
        <v>0</v>
      </c>
      <c r="AJ32" s="10" t="e">
        <f>IF($B32="",0,VLOOKUP($B32,'Eingabe Mannschaften'!$A$2:$J$28,AJ$1,FALSE))</f>
        <v>#N/A</v>
      </c>
      <c r="AK32" s="10">
        <f>IF(('Eingabe Mannschaften'!$I$29-1)&gt;AI32,1,"")</f>
        <v>1</v>
      </c>
      <c r="AL32" s="10">
        <f>IF('Eingabe Mannschaften'!$I$29=1,0,IF(AI32='Eingabe Mannschaften'!$I$29,1,0))</f>
        <v>0</v>
      </c>
      <c r="AM32" s="10">
        <f>IF(AL32=1,LARGE(D32:I32,1),"")</f>
      </c>
      <c r="AN32" s="10" t="str">
        <f>IF(AK32=1,"ADW",IF(AL32=1,SUM(AH32-AM32),AH32))</f>
        <v>ADW</v>
      </c>
      <c r="AO32" s="82">
        <f>IF(AND(AI32=1,AL32=1),AH32/9,IF(AK32=1,"",IF(AL32=0,AN32/AI32/9,AN32/(AI32-AL32)/9)))</f>
      </c>
      <c r="AP32" s="10"/>
      <c r="AQ32" s="10"/>
      <c r="AR32" s="83">
        <f>IF(AK32=1,100,RANK(AN32,$AN$31:$AN$32,1))</f>
        <v>100</v>
      </c>
      <c r="AS32" s="83">
        <f>COUNTIF(AR$31:AR32,AR32)</f>
        <v>2</v>
      </c>
      <c r="AT32" s="83">
        <f>AR32+AS32-1</f>
        <v>101</v>
      </c>
      <c r="AU32" s="88">
        <f>IF(AK32=1,2500+(AT32/10000),AN32+(AT32/10000)+(AJ32/10))</f>
        <v>2500.0101</v>
      </c>
      <c r="AV32" s="34">
        <f>A32</f>
        <v>2</v>
      </c>
      <c r="AW32" s="88">
        <f>SMALL(AU$31:AU$32,A32)</f>
        <v>2500.0101</v>
      </c>
      <c r="AX32" s="83">
        <f>VLOOKUP(AW32,AU$31:AV$32,$AX$1,FALSE)</f>
        <v>2</v>
      </c>
      <c r="AY32" s="34">
        <f>A32</f>
        <v>2</v>
      </c>
      <c r="AZ32" s="50" t="e">
        <f>IF(VLOOKUP($AX32,$A$31:$AX$32,AZ$1,FALSE),"x",0)</f>
        <v>#N/A</v>
      </c>
      <c r="BA32" s="9" t="e">
        <f>VLOOKUP($AX32,$A$31:$AX$32,BA$1,FALSE)</f>
        <v>#N/A</v>
      </c>
      <c r="BB32" s="9" t="e">
        <f>VLOOKUP($AX32,$A$31:$AX$32,BB$1,FALSE)</f>
        <v>#N/A</v>
      </c>
      <c r="BC32" s="91" t="str">
        <f>VLOOKUP($AX32,$A$31:$AX$32,BC$40,FALSE)</f>
        <v>ADW</v>
      </c>
      <c r="BD32" s="91"/>
      <c r="BE32" s="91"/>
      <c r="BF32" s="83">
        <f t="shared" si="20"/>
      </c>
      <c r="BG32" s="82">
        <f t="shared" si="20"/>
      </c>
      <c r="BH32" s="10" t="e">
        <f t="shared" si="20"/>
        <v>#N/A</v>
      </c>
      <c r="BI32" s="10" t="e">
        <f t="shared" si="20"/>
        <v>#N/A</v>
      </c>
      <c r="BJ32" s="10" t="e">
        <f t="shared" si="20"/>
        <v>#N/A</v>
      </c>
      <c r="BK32" s="10" t="e">
        <f t="shared" si="20"/>
        <v>#N/A</v>
      </c>
      <c r="BL32" s="10" t="e">
        <f t="shared" si="20"/>
        <v>#N/A</v>
      </c>
      <c r="BM32" s="10" t="e">
        <f t="shared" si="20"/>
        <v>#N/A</v>
      </c>
    </row>
    <row r="33" spans="47:49" ht="12.75" hidden="1">
      <c r="AU33" s="89"/>
      <c r="AW33" s="89"/>
    </row>
    <row r="34" spans="2:52" ht="12.75" hidden="1">
      <c r="B34" s="87" t="s">
        <v>69</v>
      </c>
      <c r="AU34" s="89"/>
      <c r="AW34" s="89"/>
      <c r="AY34" s="90" t="str">
        <f>B34</f>
        <v>Schüler-Mannschaften</v>
      </c>
      <c r="AZ34" s="79"/>
    </row>
    <row r="35" spans="1:65" ht="12.75" hidden="1">
      <c r="A35" s="52">
        <v>1</v>
      </c>
      <c r="B35" s="14" t="e">
        <f>VLOOKUP($A35,'Eingabe Mannschaften'!O$2:Q$28,2,FALSE)</f>
        <v>#N/A</v>
      </c>
      <c r="C35" s="14" t="e">
        <f>VLOOKUP($A35,'Eingabe Mannschaften'!O$2:Q$28,3,FALSE)</f>
        <v>#N/A</v>
      </c>
      <c r="D35" s="10" t="e">
        <f>IF($B35="",0,VLOOKUP($B35,'Eingabe Mannschaften'!$A$2:$I$28,D$11,FALSE))</f>
        <v>#N/A</v>
      </c>
      <c r="E35" s="10" t="e">
        <f>IF($B35="",0,VLOOKUP($B35,'Eingabe Mannschaften'!$A$2:$I$28,E$11,FALSE))</f>
        <v>#N/A</v>
      </c>
      <c r="F35" s="10" t="e">
        <f>IF($B35="",0,VLOOKUP($B35,'Eingabe Mannschaften'!$A$2:$I$28,F$11,FALSE))</f>
        <v>#N/A</v>
      </c>
      <c r="G35" s="10" t="e">
        <f>IF($B35="",0,VLOOKUP($B35,'Eingabe Mannschaften'!$A$2:$I$28,G$11,FALSE))</f>
        <v>#N/A</v>
      </c>
      <c r="H35" s="10" t="e">
        <f>IF($B35="",0,VLOOKUP($B35,'Eingabe Mannschaften'!$A$2:$I$28,H$11,FALSE))</f>
        <v>#N/A</v>
      </c>
      <c r="I35" s="10" t="e">
        <f>IF($B35="",0,VLOOKUP($B35,'Eingabe Mannschaften'!$A$2:$I$28,I$11,FALSE))</f>
        <v>#N/A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 t="e">
        <f>SUM(D35:I35)</f>
        <v>#N/A</v>
      </c>
      <c r="AI35" s="10">
        <f>COUNTIF(D35:I35,"&gt;0")</f>
        <v>0</v>
      </c>
      <c r="AJ35" s="10" t="e">
        <f>IF($B35="",0,VLOOKUP($B35,'Eingabe Mannschaften'!$A$2:$J$28,AJ$1,FALSE))</f>
        <v>#N/A</v>
      </c>
      <c r="AK35" s="10">
        <f>IF(('Eingabe Mannschaften'!$I$29-1)&gt;AI35,1,"")</f>
        <v>1</v>
      </c>
      <c r="AL35" s="10">
        <f>IF('Eingabe Mannschaften'!$I$29=1,0,IF(AI35='Eingabe Mannschaften'!$I$29,1,0))</f>
        <v>0</v>
      </c>
      <c r="AM35" s="10">
        <f>IF(AL35=1,LARGE(D35:I35,1),"")</f>
      </c>
      <c r="AN35" s="10" t="str">
        <f>IF(AK35=1,"ADW",IF(AL35=1,SUM(AH35-AM35),AH35))</f>
        <v>ADW</v>
      </c>
      <c r="AO35" s="82">
        <f>IF(AND(AI35=1,AL35=1),AH35/9,IF(AK35=1,"",IF(AL35=0,AN35/AI35/9,AN35/(AI35-AL35)/9)))</f>
      </c>
      <c r="AP35" s="10"/>
      <c r="AQ35" s="10"/>
      <c r="AR35" s="83">
        <f>IF(AK35=1,100,RANK(AN35,$AN$35:$AN$36,1))</f>
        <v>100</v>
      </c>
      <c r="AS35" s="83">
        <f>COUNTIF(AR$35:AR35,AR35)</f>
        <v>1</v>
      </c>
      <c r="AT35" s="83">
        <f>AR35+AS35-1</f>
        <v>100</v>
      </c>
      <c r="AU35" s="88">
        <f>IF(AK35=1,2500+(AT35/10000),AN35+(AT35/10000)+(AJ35/10))</f>
        <v>2500.01</v>
      </c>
      <c r="AV35" s="34">
        <f>A35</f>
        <v>1</v>
      </c>
      <c r="AW35" s="88">
        <f>SMALL(AU$35:AU$36,A35)</f>
        <v>2500.01</v>
      </c>
      <c r="AX35" s="83">
        <f>VLOOKUP(AW35,AU$35:AV$36,$AX$1,FALSE)</f>
        <v>1</v>
      </c>
      <c r="AY35" s="34">
        <f>A35</f>
        <v>1</v>
      </c>
      <c r="AZ35" s="50" t="e">
        <f>IF(VLOOKUP($AX35,$A$35:$AX$36,AZ$1,FALSE),"x",0)</f>
        <v>#N/A</v>
      </c>
      <c r="BA35" s="9" t="e">
        <f>VLOOKUP($AX35,$A$35:$AX$36,BA$1,FALSE)</f>
        <v>#N/A</v>
      </c>
      <c r="BB35" s="9" t="e">
        <f>VLOOKUP($AX35,$A$35:$AX$36,BB$1,FALSE)</f>
        <v>#N/A</v>
      </c>
      <c r="BC35" s="91" t="str">
        <f>VLOOKUP($AX35,$A$35:$AX$36,BC$40,FALSE)</f>
        <v>ADW</v>
      </c>
      <c r="BD35" s="91"/>
      <c r="BE35" s="91"/>
      <c r="BF35" s="83">
        <f aca="true" t="shared" si="21" ref="BF35:BM36">VLOOKUP($AX35,$A$35:$AX$36,BF$40,FALSE)</f>
      </c>
      <c r="BG35" s="82">
        <f t="shared" si="21"/>
      </c>
      <c r="BH35" s="10" t="e">
        <f t="shared" si="21"/>
        <v>#N/A</v>
      </c>
      <c r="BI35" s="10" t="e">
        <f t="shared" si="21"/>
        <v>#N/A</v>
      </c>
      <c r="BJ35" s="10" t="e">
        <f t="shared" si="21"/>
        <v>#N/A</v>
      </c>
      <c r="BK35" s="10" t="e">
        <f t="shared" si="21"/>
        <v>#N/A</v>
      </c>
      <c r="BL35" s="10" t="e">
        <f t="shared" si="21"/>
        <v>#N/A</v>
      </c>
      <c r="BM35" s="10" t="e">
        <f t="shared" si="21"/>
        <v>#N/A</v>
      </c>
    </row>
    <row r="36" spans="1:65" ht="12.75" hidden="1">
      <c r="A36" s="52">
        <v>2</v>
      </c>
      <c r="B36" s="14" t="e">
        <f>VLOOKUP($A36,'Eingabe Mannschaften'!O$2:Q$28,2,FALSE)</f>
        <v>#N/A</v>
      </c>
      <c r="C36" s="14" t="e">
        <f>VLOOKUP($A36,'Eingabe Mannschaften'!O$2:Q$28,3,FALSE)</f>
        <v>#N/A</v>
      </c>
      <c r="D36" s="10" t="e">
        <f>IF($B36="",0,VLOOKUP($B36,'Eingabe Mannschaften'!$A$2:$I$28,D$11,FALSE))</f>
        <v>#N/A</v>
      </c>
      <c r="E36" s="10" t="e">
        <f>IF($B36="",0,VLOOKUP($B36,'Eingabe Mannschaften'!$A$2:$I$28,E$11,FALSE))</f>
        <v>#N/A</v>
      </c>
      <c r="F36" s="10" t="e">
        <f>IF($B36="",0,VLOOKUP($B36,'Eingabe Mannschaften'!$A$2:$I$28,F$11,FALSE))</f>
        <v>#N/A</v>
      </c>
      <c r="G36" s="10" t="e">
        <f>IF($B36="",0,VLOOKUP($B36,'Eingabe Mannschaften'!$A$2:$I$28,G$11,FALSE))</f>
        <v>#N/A</v>
      </c>
      <c r="H36" s="10" t="e">
        <f>IF($B36="",0,VLOOKUP($B36,'Eingabe Mannschaften'!$A$2:$I$28,H$11,FALSE))</f>
        <v>#N/A</v>
      </c>
      <c r="I36" s="10" t="e">
        <f>IF($B36="",0,VLOOKUP($B36,'Eingabe Mannschaften'!$A$2:$I$28,I$11,FALSE))</f>
        <v>#N/A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 t="e">
        <f>SUM(D36:I36)</f>
        <v>#N/A</v>
      </c>
      <c r="AI36" s="10">
        <f>COUNTIF(D36:I36,"&gt;0")</f>
        <v>0</v>
      </c>
      <c r="AJ36" s="10" t="e">
        <f>IF($B36="",0,VLOOKUP($B36,'Eingabe Mannschaften'!$A$2:$J$28,AJ$1,FALSE))</f>
        <v>#N/A</v>
      </c>
      <c r="AK36" s="10">
        <f>IF(('Eingabe Mannschaften'!$I$29-1)&gt;AI36,1,"")</f>
        <v>1</v>
      </c>
      <c r="AL36" s="10">
        <f>IF('Eingabe Mannschaften'!$I$29=1,0,IF(AI36='Eingabe Mannschaften'!$I$29,1,0))</f>
        <v>0</v>
      </c>
      <c r="AM36" s="10">
        <f>IF(AL36=1,LARGE(D36:I36,1),"")</f>
      </c>
      <c r="AN36" s="10" t="str">
        <f>IF(AK36=1,"ADW",IF(AL36=1,SUM(AH36-AM36),AH36))</f>
        <v>ADW</v>
      </c>
      <c r="AO36" s="82">
        <f>IF(AND(AI36=1,AL36=1),AH36/9,IF(AK36=1,"",IF(AL36=0,AN36/AI36/9,AN36/(AI36-AL36)/9)))</f>
      </c>
      <c r="AP36" s="10"/>
      <c r="AQ36" s="10"/>
      <c r="AR36" s="83">
        <f>IF(AK36=1,100,RANK(AN36,$AN$35:$AN$36,1))</f>
        <v>100</v>
      </c>
      <c r="AS36" s="83">
        <f>COUNTIF(AR$35:AR36,AR36)</f>
        <v>2</v>
      </c>
      <c r="AT36" s="83">
        <f>AR36+AS36-1</f>
        <v>101</v>
      </c>
      <c r="AU36" s="88">
        <f>IF(AK36=1,2500+(AT36/10000),AN36+(AT36/10000)+(AJ36/10))</f>
        <v>2500.0101</v>
      </c>
      <c r="AV36" s="34">
        <f>A36</f>
        <v>2</v>
      </c>
      <c r="AW36" s="88">
        <f>SMALL(AU$35:AU$36,A36)</f>
        <v>2500.0101</v>
      </c>
      <c r="AX36" s="83">
        <f>VLOOKUP(AW36,AU$35:AV$36,$AX$1,FALSE)</f>
        <v>2</v>
      </c>
      <c r="AY36" s="34">
        <f>A36</f>
        <v>2</v>
      </c>
      <c r="AZ36" s="50" t="e">
        <f>IF(VLOOKUP($AX36,$A$35:$AX$36,AZ$1,FALSE),"x",0)</f>
        <v>#N/A</v>
      </c>
      <c r="BA36" s="9" t="e">
        <f>VLOOKUP($AX36,$A$35:$AX$36,BA$1,FALSE)</f>
        <v>#N/A</v>
      </c>
      <c r="BB36" s="9" t="e">
        <f>VLOOKUP($AX36,$A$35:$AX$36,BB$1,FALSE)</f>
        <v>#N/A</v>
      </c>
      <c r="BC36" s="91" t="str">
        <f>VLOOKUP($AX36,$A$35:$AX$36,BC$40,FALSE)</f>
        <v>ADW</v>
      </c>
      <c r="BD36" s="91"/>
      <c r="BE36" s="91"/>
      <c r="BF36" s="83">
        <f t="shared" si="21"/>
      </c>
      <c r="BG36" s="82">
        <f t="shared" si="21"/>
      </c>
      <c r="BH36" s="10" t="e">
        <f t="shared" si="21"/>
        <v>#N/A</v>
      </c>
      <c r="BI36" s="10" t="e">
        <f t="shared" si="21"/>
        <v>#N/A</v>
      </c>
      <c r="BJ36" s="10" t="e">
        <f t="shared" si="21"/>
        <v>#N/A</v>
      </c>
      <c r="BK36" s="10" t="e">
        <f t="shared" si="21"/>
        <v>#N/A</v>
      </c>
      <c r="BL36" s="10" t="e">
        <f t="shared" si="21"/>
        <v>#N/A</v>
      </c>
      <c r="BM36" s="10" t="e">
        <f t="shared" si="21"/>
        <v>#N/A</v>
      </c>
    </row>
    <row r="37" ht="12.75" hidden="1"/>
    <row r="38" spans="13:52" ht="12.75">
      <c r="M38" s="11"/>
      <c r="P38" s="11"/>
      <c r="Q38" s="11"/>
      <c r="R38" s="11"/>
      <c r="S38" s="11"/>
      <c r="U38" s="11"/>
      <c r="V38" s="11"/>
      <c r="W38" s="11"/>
      <c r="AO38" s="3"/>
      <c r="AR38" s="3"/>
      <c r="AS38" s="3"/>
      <c r="AT38" s="3"/>
      <c r="AU38" s="3"/>
      <c r="AW38" s="3"/>
      <c r="AX38" s="3"/>
      <c r="AY38" s="3"/>
      <c r="AZ38" s="49"/>
    </row>
    <row r="39" spans="21:52" ht="12.75">
      <c r="U39" s="11"/>
      <c r="X39" s="11"/>
      <c r="Y39" s="11"/>
      <c r="Z39" s="11"/>
      <c r="AA39" s="11"/>
      <c r="AC39" s="11"/>
      <c r="AD39" s="11"/>
      <c r="AE39" s="11"/>
      <c r="AO39" s="3"/>
      <c r="AR39" s="3"/>
      <c r="AS39" s="3"/>
      <c r="AT39" s="3"/>
      <c r="AU39" s="3"/>
      <c r="AW39" s="3"/>
      <c r="AX39" s="3"/>
      <c r="AY39" s="3"/>
      <c r="AZ39" s="49"/>
    </row>
    <row r="40" spans="25:65" ht="12.75">
      <c r="Y40" s="11"/>
      <c r="AB40" s="11"/>
      <c r="AC40" s="11"/>
      <c r="AD40" s="11"/>
      <c r="AE40" s="11"/>
      <c r="AG40" s="11"/>
      <c r="AH40" s="11"/>
      <c r="AI40" s="11"/>
      <c r="AJ40" s="11"/>
      <c r="AO40" s="3"/>
      <c r="AR40" s="3"/>
      <c r="AS40" s="3"/>
      <c r="AT40" s="3"/>
      <c r="AU40" s="3"/>
      <c r="AW40" s="3"/>
      <c r="AX40" s="3"/>
      <c r="AY40" s="3"/>
      <c r="AZ40" s="49"/>
      <c r="BC40" s="63">
        <v>40</v>
      </c>
      <c r="BD40" s="63"/>
      <c r="BE40" s="63"/>
      <c r="BF40" s="63">
        <v>39</v>
      </c>
      <c r="BG40" s="63">
        <v>41</v>
      </c>
      <c r="BH40" s="63">
        <v>4</v>
      </c>
      <c r="BI40" s="63">
        <v>5</v>
      </c>
      <c r="BJ40" s="63">
        <v>6</v>
      </c>
      <c r="BK40" s="63">
        <v>7</v>
      </c>
      <c r="BL40" s="63">
        <v>8</v>
      </c>
      <c r="BM40" s="63">
        <v>9</v>
      </c>
    </row>
    <row r="41" spans="29:52" ht="12.75">
      <c r="AC41" s="11"/>
      <c r="AF41" s="11"/>
      <c r="AG41" s="11"/>
      <c r="AH41" s="11"/>
      <c r="AI41" s="11"/>
      <c r="AJ41" s="11"/>
      <c r="AL41" s="11"/>
      <c r="AM41" s="11"/>
      <c r="AN41" s="11"/>
      <c r="AO41" s="3"/>
      <c r="AR41" s="3"/>
      <c r="AS41" s="3"/>
      <c r="AT41" s="3"/>
      <c r="AU41" s="3"/>
      <c r="AW41" s="3"/>
      <c r="AX41" s="3"/>
      <c r="AY41" s="3"/>
      <c r="AZ41" s="49"/>
    </row>
    <row r="42" spans="29:52" ht="12.75">
      <c r="AC42" s="11"/>
      <c r="AF42" s="11"/>
      <c r="AG42" s="11"/>
      <c r="AH42" s="11"/>
      <c r="AI42" s="11"/>
      <c r="AJ42" s="11"/>
      <c r="AL42" s="11"/>
      <c r="AM42" s="11"/>
      <c r="AN42" s="11"/>
      <c r="AO42" s="3"/>
      <c r="AR42" s="3"/>
      <c r="AS42" s="3"/>
      <c r="AT42" s="3"/>
      <c r="AU42" s="3"/>
      <c r="AW42" s="3"/>
      <c r="AX42" s="3"/>
      <c r="AY42" s="3"/>
      <c r="AZ42" s="49"/>
    </row>
    <row r="43" spans="33:52" ht="12.75">
      <c r="AG43" s="11"/>
      <c r="AK43" s="11"/>
      <c r="AL43" s="11"/>
      <c r="AM43" s="11"/>
      <c r="AN43" s="11"/>
      <c r="AO43" s="3"/>
      <c r="AP43" s="11"/>
      <c r="AQ43" s="11"/>
      <c r="AS43" s="3"/>
      <c r="AT43" s="3"/>
      <c r="AU43" s="3"/>
      <c r="AW43" s="3"/>
      <c r="AX43" s="3"/>
      <c r="AY43" s="3"/>
      <c r="AZ43" s="49"/>
    </row>
    <row r="44" spans="33:52" ht="12.75">
      <c r="AG44" s="11"/>
      <c r="AK44" s="11"/>
      <c r="AL44" s="11"/>
      <c r="AM44" s="11"/>
      <c r="AN44" s="11"/>
      <c r="AO44" s="3"/>
      <c r="AP44" s="11"/>
      <c r="AQ44" s="11"/>
      <c r="AS44" s="3"/>
      <c r="AT44" s="3"/>
      <c r="AU44" s="3"/>
      <c r="AW44" s="3"/>
      <c r="AX44" s="3"/>
      <c r="AY44" s="3"/>
      <c r="AZ44" s="49"/>
    </row>
    <row r="45" spans="33:52" ht="12.75">
      <c r="AG45" s="11"/>
      <c r="AK45" s="11"/>
      <c r="AL45" s="11"/>
      <c r="AM45" s="11"/>
      <c r="AN45" s="11"/>
      <c r="AO45" s="3"/>
      <c r="AP45" s="11"/>
      <c r="AQ45" s="11"/>
      <c r="AS45" s="3"/>
      <c r="AT45" s="3"/>
      <c r="AU45" s="3"/>
      <c r="AW45" s="3"/>
      <c r="AX45" s="3"/>
      <c r="AY45" s="3"/>
      <c r="AZ45" s="49"/>
    </row>
    <row r="46" spans="33:52" ht="12.75">
      <c r="AG46" s="11"/>
      <c r="AK46" s="11"/>
      <c r="AL46" s="11"/>
      <c r="AM46" s="11"/>
      <c r="AN46" s="11"/>
      <c r="AO46" s="3"/>
      <c r="AP46" s="11"/>
      <c r="AQ46" s="11"/>
      <c r="AS46" s="3"/>
      <c r="AT46" s="3"/>
      <c r="AU46" s="3"/>
      <c r="AW46" s="3"/>
      <c r="AX46" s="3"/>
      <c r="AY46" s="3"/>
      <c r="AZ46" s="49"/>
    </row>
    <row r="47" spans="33:52" ht="12.75">
      <c r="AG47" s="11"/>
      <c r="AK47" s="11"/>
      <c r="AL47" s="11"/>
      <c r="AM47" s="11"/>
      <c r="AN47" s="11"/>
      <c r="AO47" s="3"/>
      <c r="AP47" s="11"/>
      <c r="AQ47" s="11"/>
      <c r="AS47" s="3"/>
      <c r="AT47" s="3"/>
      <c r="AU47" s="3"/>
      <c r="AW47" s="3"/>
      <c r="AX47" s="3"/>
      <c r="AY47" s="3"/>
      <c r="AZ47" s="49"/>
    </row>
    <row r="48" spans="33:52" ht="12.75">
      <c r="AG48" s="11"/>
      <c r="AK48" s="11"/>
      <c r="AL48" s="11"/>
      <c r="AM48" s="11"/>
      <c r="AN48" s="11"/>
      <c r="AO48" s="3"/>
      <c r="AP48" s="11"/>
      <c r="AQ48" s="11"/>
      <c r="AS48" s="3"/>
      <c r="AT48" s="3"/>
      <c r="AU48" s="3"/>
      <c r="AW48" s="3"/>
      <c r="AX48" s="3"/>
      <c r="AY48" s="3"/>
      <c r="AZ48" s="49"/>
    </row>
    <row r="49" spans="33:52" ht="12.75">
      <c r="AG49" s="11"/>
      <c r="AK49" s="11"/>
      <c r="AL49" s="11"/>
      <c r="AM49" s="11"/>
      <c r="AN49" s="11"/>
      <c r="AO49" s="3"/>
      <c r="AP49" s="11"/>
      <c r="AQ49" s="11"/>
      <c r="AS49" s="3"/>
      <c r="AT49" s="3"/>
      <c r="AU49" s="3"/>
      <c r="AW49" s="3"/>
      <c r="AX49" s="3"/>
      <c r="AY49" s="3"/>
      <c r="AZ49" s="49"/>
    </row>
    <row r="50" spans="33:52" ht="12.75">
      <c r="AG50" s="11"/>
      <c r="AK50" s="11"/>
      <c r="AL50" s="11"/>
      <c r="AM50" s="11"/>
      <c r="AN50" s="11"/>
      <c r="AO50" s="3"/>
      <c r="AP50" s="11"/>
      <c r="AQ50" s="11"/>
      <c r="AS50" s="3"/>
      <c r="AT50" s="3"/>
      <c r="AU50" s="3"/>
      <c r="AW50" s="3"/>
      <c r="AX50" s="3"/>
      <c r="AY50" s="3"/>
      <c r="AZ50" s="49"/>
    </row>
    <row r="51" spans="33:52" ht="12.75">
      <c r="AG51" s="11"/>
      <c r="AK51" s="11"/>
      <c r="AL51" s="11"/>
      <c r="AM51" s="11"/>
      <c r="AN51" s="11"/>
      <c r="AO51" s="3"/>
      <c r="AP51" s="11"/>
      <c r="AQ51" s="11"/>
      <c r="AS51" s="3"/>
      <c r="AT51" s="3"/>
      <c r="AU51" s="3"/>
      <c r="AW51" s="3"/>
      <c r="AX51" s="3"/>
      <c r="AY51" s="3"/>
      <c r="AZ51" s="49"/>
    </row>
    <row r="52" spans="33:52" ht="12.75">
      <c r="AG52" s="11"/>
      <c r="AK52" s="11"/>
      <c r="AL52" s="11"/>
      <c r="AM52" s="11"/>
      <c r="AN52" s="11"/>
      <c r="AO52" s="3"/>
      <c r="AP52" s="11"/>
      <c r="AQ52" s="11"/>
      <c r="AS52" s="3"/>
      <c r="AT52" s="3"/>
      <c r="AU52" s="3"/>
      <c r="AW52" s="3"/>
      <c r="AX52" s="3"/>
      <c r="AY52" s="3"/>
      <c r="AZ52" s="49"/>
    </row>
    <row r="53" spans="33:52" ht="12.75">
      <c r="AG53" s="11"/>
      <c r="AK53" s="11"/>
      <c r="AL53" s="11"/>
      <c r="AM53" s="11"/>
      <c r="AN53" s="11"/>
      <c r="AO53" s="3"/>
      <c r="AP53" s="11"/>
      <c r="AQ53" s="11"/>
      <c r="AS53" s="3"/>
      <c r="AT53" s="3"/>
      <c r="AU53" s="3"/>
      <c r="AW53" s="3"/>
      <c r="AX53" s="3"/>
      <c r="AY53" s="3"/>
      <c r="AZ53" s="49"/>
    </row>
    <row r="54" spans="33:52" ht="12.75">
      <c r="AG54" s="11"/>
      <c r="AK54" s="11"/>
      <c r="AL54" s="11"/>
      <c r="AM54" s="11"/>
      <c r="AN54" s="11"/>
      <c r="AO54" s="3"/>
      <c r="AP54" s="11"/>
      <c r="AQ54" s="11"/>
      <c r="AS54" s="3"/>
      <c r="AT54" s="3"/>
      <c r="AU54" s="3"/>
      <c r="AW54" s="3"/>
      <c r="AX54" s="3"/>
      <c r="AY54" s="3"/>
      <c r="AZ54" s="49"/>
    </row>
    <row r="55" spans="33:52" ht="12.75">
      <c r="AG55" s="11"/>
      <c r="AK55" s="11"/>
      <c r="AL55" s="11"/>
      <c r="AM55" s="11"/>
      <c r="AN55" s="11"/>
      <c r="AO55" s="3"/>
      <c r="AP55" s="11"/>
      <c r="AQ55" s="11"/>
      <c r="AS55" s="3"/>
      <c r="AT55" s="3"/>
      <c r="AU55" s="3"/>
      <c r="AW55" s="3"/>
      <c r="AX55" s="3"/>
      <c r="AY55" s="3"/>
      <c r="AZ55" s="49"/>
    </row>
    <row r="56" spans="33:52" ht="12.75">
      <c r="AG56" s="11"/>
      <c r="AK56" s="11"/>
      <c r="AL56" s="11"/>
      <c r="AM56" s="11"/>
      <c r="AN56" s="11"/>
      <c r="AO56" s="3"/>
      <c r="AP56" s="11"/>
      <c r="AQ56" s="11"/>
      <c r="AS56" s="3"/>
      <c r="AT56" s="3"/>
      <c r="AU56" s="3"/>
      <c r="AW56" s="3"/>
      <c r="AX56" s="3"/>
      <c r="AY56" s="3"/>
      <c r="AZ56" s="49"/>
    </row>
    <row r="57" spans="33:52" ht="12.75">
      <c r="AG57" s="11"/>
      <c r="AK57" s="11"/>
      <c r="AL57" s="11"/>
      <c r="AM57" s="11"/>
      <c r="AN57" s="11"/>
      <c r="AO57" s="3"/>
      <c r="AP57" s="11"/>
      <c r="AQ57" s="11"/>
      <c r="AS57" s="3"/>
      <c r="AT57" s="3"/>
      <c r="AU57" s="3"/>
      <c r="AW57" s="3"/>
      <c r="AX57" s="3"/>
      <c r="AY57" s="3"/>
      <c r="AZ57" s="49"/>
    </row>
    <row r="58" spans="33:52" ht="12.75">
      <c r="AG58" s="11"/>
      <c r="AK58" s="11"/>
      <c r="AL58" s="11"/>
      <c r="AM58" s="11"/>
      <c r="AN58" s="11"/>
      <c r="AO58" s="3"/>
      <c r="AP58" s="11"/>
      <c r="AQ58" s="11"/>
      <c r="AS58" s="3"/>
      <c r="AT58" s="3"/>
      <c r="AU58" s="3"/>
      <c r="AW58" s="3"/>
      <c r="AX58" s="3"/>
      <c r="AY58" s="3"/>
      <c r="AZ58" s="49"/>
    </row>
    <row r="59" spans="33:52" ht="12.75">
      <c r="AG59" s="11"/>
      <c r="AK59" s="11"/>
      <c r="AL59" s="11"/>
      <c r="AM59" s="11"/>
      <c r="AN59" s="11"/>
      <c r="AO59" s="3"/>
      <c r="AP59" s="11"/>
      <c r="AQ59" s="11"/>
      <c r="AS59" s="3"/>
      <c r="AT59" s="3"/>
      <c r="AU59" s="3"/>
      <c r="AW59" s="3"/>
      <c r="AX59" s="3"/>
      <c r="AY59" s="3"/>
      <c r="AZ59" s="49"/>
    </row>
    <row r="60" spans="33:52" ht="12.75">
      <c r="AG60" s="11"/>
      <c r="AK60" s="11"/>
      <c r="AL60" s="11"/>
      <c r="AM60" s="11"/>
      <c r="AN60" s="11"/>
      <c r="AO60" s="3"/>
      <c r="AP60" s="11"/>
      <c r="AQ60" s="11"/>
      <c r="AS60" s="3"/>
      <c r="AT60" s="3"/>
      <c r="AU60" s="3"/>
      <c r="AW60" s="3"/>
      <c r="AX60" s="3"/>
      <c r="AY60" s="3"/>
      <c r="AZ60" s="49"/>
    </row>
    <row r="61" spans="33:52" ht="12.75">
      <c r="AG61" s="11"/>
      <c r="AK61" s="11"/>
      <c r="AL61" s="11"/>
      <c r="AM61" s="11"/>
      <c r="AN61" s="11"/>
      <c r="AO61" s="3"/>
      <c r="AP61" s="11"/>
      <c r="AQ61" s="11"/>
      <c r="AS61" s="3"/>
      <c r="AT61" s="3"/>
      <c r="AU61" s="3"/>
      <c r="AW61" s="3"/>
      <c r="AX61" s="3"/>
      <c r="AY61" s="3"/>
      <c r="AZ61" s="49"/>
    </row>
    <row r="62" spans="33:52" ht="12.75">
      <c r="AG62" s="11"/>
      <c r="AK62" s="11"/>
      <c r="AL62" s="11"/>
      <c r="AM62" s="11"/>
      <c r="AN62" s="11"/>
      <c r="AO62" s="3"/>
      <c r="AP62" s="11"/>
      <c r="AQ62" s="11"/>
      <c r="AS62" s="3"/>
      <c r="AT62" s="3"/>
      <c r="AU62" s="3"/>
      <c r="AW62" s="3"/>
      <c r="AX62" s="3"/>
      <c r="AY62" s="3"/>
      <c r="AZ62" s="49"/>
    </row>
    <row r="63" spans="33:52" ht="12.75">
      <c r="AG63" s="11"/>
      <c r="AK63" s="11"/>
      <c r="AL63" s="11"/>
      <c r="AM63" s="11"/>
      <c r="AN63" s="11"/>
      <c r="AO63" s="3"/>
      <c r="AP63" s="11"/>
      <c r="AQ63" s="11"/>
      <c r="AS63" s="3"/>
      <c r="AT63" s="3"/>
      <c r="AU63" s="3"/>
      <c r="AW63" s="3"/>
      <c r="AX63" s="3"/>
      <c r="AY63" s="3"/>
      <c r="AZ63" s="49"/>
    </row>
    <row r="64" spans="33:52" ht="12.75">
      <c r="AG64" s="11"/>
      <c r="AK64" s="11"/>
      <c r="AL64" s="11"/>
      <c r="AM64" s="11"/>
      <c r="AN64" s="11"/>
      <c r="AO64" s="3"/>
      <c r="AP64" s="11"/>
      <c r="AQ64" s="11"/>
      <c r="AS64" s="3"/>
      <c r="AT64" s="3"/>
      <c r="AU64" s="3"/>
      <c r="AW64" s="3"/>
      <c r="AX64" s="3"/>
      <c r="AY64" s="3"/>
      <c r="AZ64" s="49"/>
    </row>
    <row r="65" spans="33:52" ht="12.75">
      <c r="AG65" s="11"/>
      <c r="AK65" s="11"/>
      <c r="AL65" s="11"/>
      <c r="AM65" s="11"/>
      <c r="AN65" s="11"/>
      <c r="AO65" s="3"/>
      <c r="AP65" s="11"/>
      <c r="AQ65" s="11"/>
      <c r="AS65" s="3"/>
      <c r="AT65" s="3"/>
      <c r="AU65" s="3"/>
      <c r="AW65" s="3"/>
      <c r="AX65" s="3"/>
      <c r="AY65" s="3"/>
      <c r="AZ65" s="49"/>
    </row>
    <row r="66" spans="33:52" ht="12.75">
      <c r="AG66" s="11"/>
      <c r="AK66" s="11"/>
      <c r="AL66" s="11"/>
      <c r="AM66" s="11"/>
      <c r="AN66" s="11"/>
      <c r="AO66" s="3"/>
      <c r="AP66" s="11"/>
      <c r="AQ66" s="11"/>
      <c r="AS66" s="3"/>
      <c r="AT66" s="3"/>
      <c r="AU66" s="3"/>
      <c r="AW66" s="3"/>
      <c r="AX66" s="3"/>
      <c r="AY66" s="3"/>
      <c r="AZ66" s="49"/>
    </row>
    <row r="67" spans="33:52" ht="12.75">
      <c r="AG67" s="11"/>
      <c r="AK67" s="11"/>
      <c r="AL67" s="11"/>
      <c r="AM67" s="11"/>
      <c r="AN67" s="11"/>
      <c r="AO67" s="3"/>
      <c r="AP67" s="11"/>
      <c r="AQ67" s="11"/>
      <c r="AS67" s="3"/>
      <c r="AT67" s="3"/>
      <c r="AU67" s="3"/>
      <c r="AW67" s="3"/>
      <c r="AX67" s="3"/>
      <c r="AY67" s="3"/>
      <c r="AZ67" s="49"/>
    </row>
    <row r="68" spans="33:52" ht="12.75">
      <c r="AG68" s="11"/>
      <c r="AK68" s="11"/>
      <c r="AL68" s="11"/>
      <c r="AM68" s="11"/>
      <c r="AN68" s="11"/>
      <c r="AO68" s="3"/>
      <c r="AP68" s="11"/>
      <c r="AQ68" s="11"/>
      <c r="AS68" s="3"/>
      <c r="AT68" s="3"/>
      <c r="AU68" s="3"/>
      <c r="AW68" s="3"/>
      <c r="AX68" s="3"/>
      <c r="AY68" s="3"/>
      <c r="AZ68" s="49"/>
    </row>
    <row r="69" spans="33:52" ht="12.75">
      <c r="AG69" s="11"/>
      <c r="AK69" s="11"/>
      <c r="AL69" s="11"/>
      <c r="AM69" s="11"/>
      <c r="AN69" s="11"/>
      <c r="AO69" s="3"/>
      <c r="AP69" s="11"/>
      <c r="AQ69" s="11"/>
      <c r="AS69" s="3"/>
      <c r="AT69" s="3"/>
      <c r="AU69" s="3"/>
      <c r="AW69" s="3"/>
      <c r="AX69" s="3"/>
      <c r="AY69" s="3"/>
      <c r="AZ69" s="49"/>
    </row>
    <row r="70" spans="33:52" ht="12.75">
      <c r="AG70" s="11"/>
      <c r="AK70" s="11"/>
      <c r="AL70" s="11"/>
      <c r="AM70" s="11"/>
      <c r="AN70" s="11"/>
      <c r="AO70" s="3"/>
      <c r="AP70" s="11"/>
      <c r="AQ70" s="11"/>
      <c r="AS70" s="3"/>
      <c r="AT70" s="3"/>
      <c r="AU70" s="3"/>
      <c r="AW70" s="3"/>
      <c r="AX70" s="3"/>
      <c r="AY70" s="3"/>
      <c r="AZ70" s="49"/>
    </row>
    <row r="71" spans="33:52" ht="12.75">
      <c r="AG71" s="11"/>
      <c r="AK71" s="11"/>
      <c r="AL71" s="11"/>
      <c r="AM71" s="11"/>
      <c r="AN71" s="11"/>
      <c r="AO71" s="3"/>
      <c r="AP71" s="11"/>
      <c r="AQ71" s="11"/>
      <c r="AS71" s="3"/>
      <c r="AT71" s="3"/>
      <c r="AU71" s="3"/>
      <c r="AW71" s="3"/>
      <c r="AX71" s="3"/>
      <c r="AY71" s="3"/>
      <c r="AZ71" s="49"/>
    </row>
    <row r="72" spans="33:52" ht="12.75">
      <c r="AG72" s="11"/>
      <c r="AK72" s="11"/>
      <c r="AL72" s="11"/>
      <c r="AM72" s="11"/>
      <c r="AN72" s="11"/>
      <c r="AO72" s="3"/>
      <c r="AP72" s="11"/>
      <c r="AQ72" s="11"/>
      <c r="AS72" s="3"/>
      <c r="AT72" s="3"/>
      <c r="AU72" s="3"/>
      <c r="AW72" s="3"/>
      <c r="AX72" s="3"/>
      <c r="AY72" s="3"/>
      <c r="AZ72" s="49"/>
    </row>
    <row r="73" spans="33:52" ht="12.75">
      <c r="AG73" s="11"/>
      <c r="AK73" s="11"/>
      <c r="AL73" s="11"/>
      <c r="AM73" s="11"/>
      <c r="AN73" s="11"/>
      <c r="AO73" s="3"/>
      <c r="AP73" s="11"/>
      <c r="AQ73" s="11"/>
      <c r="AS73" s="3"/>
      <c r="AT73" s="3"/>
      <c r="AU73" s="3"/>
      <c r="AW73" s="3"/>
      <c r="AX73" s="3"/>
      <c r="AY73" s="3"/>
      <c r="AZ73" s="49"/>
    </row>
    <row r="74" spans="33:52" ht="12.75">
      <c r="AG74" s="11"/>
      <c r="AK74" s="11"/>
      <c r="AL74" s="11"/>
      <c r="AM74" s="11"/>
      <c r="AN74" s="11"/>
      <c r="AO74" s="3"/>
      <c r="AP74" s="11"/>
      <c r="AQ74" s="11"/>
      <c r="AS74" s="3"/>
      <c r="AT74" s="3"/>
      <c r="AU74" s="3"/>
      <c r="AW74" s="3"/>
      <c r="AX74" s="3"/>
      <c r="AY74" s="3"/>
      <c r="AZ74" s="49"/>
    </row>
    <row r="75" spans="33:52" ht="12.75">
      <c r="AG75" s="11"/>
      <c r="AK75" s="11"/>
      <c r="AL75" s="11"/>
      <c r="AM75" s="11"/>
      <c r="AN75" s="11"/>
      <c r="AO75" s="3"/>
      <c r="AP75" s="11"/>
      <c r="AQ75" s="11"/>
      <c r="AS75" s="3"/>
      <c r="AT75" s="3"/>
      <c r="AU75" s="3"/>
      <c r="AW75" s="3"/>
      <c r="AX75" s="3"/>
      <c r="AY75" s="3"/>
      <c r="AZ75" s="49"/>
    </row>
    <row r="76" spans="33:52" ht="12.75">
      <c r="AG76" s="11"/>
      <c r="AK76" s="11"/>
      <c r="AL76" s="11"/>
      <c r="AM76" s="11"/>
      <c r="AN76" s="11"/>
      <c r="AO76" s="3"/>
      <c r="AP76" s="11"/>
      <c r="AQ76" s="11"/>
      <c r="AS76" s="3"/>
      <c r="AT76" s="3"/>
      <c r="AU76" s="3"/>
      <c r="AW76" s="3"/>
      <c r="AX76" s="3"/>
      <c r="AY76" s="3"/>
      <c r="AZ76" s="49"/>
    </row>
  </sheetData>
  <printOptions/>
  <pageMargins left="0.1968503937007874" right="0.1968503937007874" top="0.1968503937007874" bottom="0.196850393700787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hzx233</cp:lastModifiedBy>
  <cp:lastPrinted>2004-06-27T15:23:10Z</cp:lastPrinted>
  <dcterms:created xsi:type="dcterms:W3CDTF">2002-01-21T20:59:00Z</dcterms:created>
  <dcterms:modified xsi:type="dcterms:W3CDTF">2004-06-28T05:41:46Z</dcterms:modified>
  <cp:category/>
  <cp:version/>
  <cp:contentType/>
  <cp:contentStatus/>
</cp:coreProperties>
</file>